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44" activeTab="7"/>
  </bookViews>
  <sheets>
    <sheet name="ИД" sheetId="1" r:id="rId1"/>
    <sheet name="ССРтек" sheetId="2" r:id="rId2"/>
    <sheet name="ОС-01-01 тек" sheetId="23" r:id="rId3"/>
    <sheet name="ОС-06-01тек" sheetId="21" state="hidden" r:id="rId4"/>
    <sheet name="ССРбаз" sheetId="7" r:id="rId5"/>
    <sheet name="ОС-01-01" sheetId="22" r:id="rId6"/>
    <sheet name="ОС-06-01" sheetId="17" state="hidden" r:id="rId7"/>
    <sheet name="в ПЗ" sheetId="8" r:id="rId8"/>
  </sheets>
  <externalReferences>
    <externalReference r:id="rId9"/>
    <externalReference r:id="rId10"/>
  </externalReferences>
  <definedNames>
    <definedName name="Print_Area" localSheetId="7">'в ПЗ'!$A$1:$C$10</definedName>
    <definedName name="Print_Area" localSheetId="0">ИД!$A$1:$E$29</definedName>
    <definedName name="Print_Area" localSheetId="6">'ОС-06-01'!$B$1:$I$31</definedName>
    <definedName name="Print_Area" localSheetId="3">'ОС-06-01тек'!$B$1:$I$31</definedName>
    <definedName name="Print_Area" localSheetId="4">ССРбаз!$B$1:$I$62</definedName>
    <definedName name="Print_Area" localSheetId="1">ССРтек!$B$1:$I$68</definedName>
    <definedName name="Print_Titles" localSheetId="6">'ОС-06-01'!#REF!</definedName>
    <definedName name="Print_Titles" localSheetId="3">'ОС-06-01тек'!#REF!</definedName>
    <definedName name="Print_Titles" localSheetId="4">ССРбаз!$17:$17</definedName>
    <definedName name="Print_Titles" localSheetId="1">ССРтек!$17:$17</definedName>
    <definedName name="_xlnm.Print_Titles" localSheetId="4">ССРбаз!$17:$17</definedName>
    <definedName name="_xlnm.Print_Titles" localSheetId="1">ССРтек!$17:$17</definedName>
    <definedName name="_xlnm.Print_Area" localSheetId="7">'в ПЗ'!$A$1:$C$13</definedName>
    <definedName name="_xlnm.Print_Area" localSheetId="0">ИД!$A$1:$E$35</definedName>
    <definedName name="_xlnm.Print_Area" localSheetId="5">'ОС-01-01'!$B$1:$I$31</definedName>
    <definedName name="_xlnm.Print_Area" localSheetId="2">'ОС-01-01 тек'!$B$1:$I$31</definedName>
    <definedName name="_xlnm.Print_Area" localSheetId="6">'ОС-06-01'!$B$1:$I$38</definedName>
    <definedName name="_xlnm.Print_Area" localSheetId="3">'ОС-06-01тек'!$B$1:$I$38</definedName>
    <definedName name="_xlnm.Print_Area" localSheetId="4">ССРбаз!$B$1:$I$66</definedName>
    <definedName name="_xlnm.Print_Area" localSheetId="1">ССРтек!$B$1:$I$68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3" i="1"/>
  <c r="E32" i="1"/>
  <c r="D31" i="1"/>
  <c r="D33" i="1" l="1"/>
  <c r="D32" i="1"/>
  <c r="H48" i="2" l="1"/>
  <c r="D48" i="2"/>
  <c r="H48" i="7"/>
  <c r="D48" i="7"/>
  <c r="H47" i="7"/>
  <c r="D47" i="7"/>
  <c r="H46" i="7"/>
  <c r="D46" i="7"/>
  <c r="H45" i="7"/>
  <c r="D45" i="7"/>
  <c r="I33" i="1" l="1"/>
  <c r="I34" i="1" l="1"/>
  <c r="H33" i="7" l="1"/>
  <c r="G31" i="23" l="1"/>
  <c r="D31" i="23"/>
  <c r="G29" i="23"/>
  <c r="D29" i="23"/>
  <c r="G27" i="23"/>
  <c r="D23" i="23"/>
  <c r="C23" i="23"/>
  <c r="A23" i="23"/>
  <c r="D21" i="23"/>
  <c r="C21" i="23"/>
  <c r="B21" i="23"/>
  <c r="B23" i="23" s="1"/>
  <c r="A21" i="23"/>
  <c r="E20" i="23"/>
  <c r="I19" i="23"/>
  <c r="D19" i="23"/>
  <c r="C19" i="23"/>
  <c r="B19" i="23"/>
  <c r="I18" i="23"/>
  <c r="D18" i="23"/>
  <c r="C18" i="23"/>
  <c r="I10" i="23"/>
  <c r="H10" i="23"/>
  <c r="E20" i="22"/>
  <c r="E19" i="7" s="1"/>
  <c r="H10" i="22"/>
  <c r="G31" i="22"/>
  <c r="D31" i="22"/>
  <c r="G29" i="22"/>
  <c r="D29" i="22"/>
  <c r="G27" i="22"/>
  <c r="D23" i="22"/>
  <c r="C23" i="22"/>
  <c r="A23" i="22"/>
  <c r="D21" i="22"/>
  <c r="C21" i="22"/>
  <c r="B21" i="22"/>
  <c r="B23" i="22" s="1"/>
  <c r="A21" i="22"/>
  <c r="I19" i="22"/>
  <c r="D19" i="22"/>
  <c r="C19" i="22"/>
  <c r="B19" i="22"/>
  <c r="I18" i="22"/>
  <c r="D18" i="22"/>
  <c r="C18" i="22"/>
  <c r="I10" i="22"/>
  <c r="E21" i="23" l="1"/>
  <c r="I21" i="23" s="1"/>
  <c r="I20" i="23"/>
  <c r="I22" i="23"/>
  <c r="E19" i="2"/>
  <c r="I20" i="22"/>
  <c r="E21" i="22"/>
  <c r="E22" i="23"/>
  <c r="E23" i="23" l="1"/>
  <c r="I23" i="23" s="1"/>
  <c r="I24" i="23" s="1"/>
  <c r="H9" i="23" s="1"/>
  <c r="H11" i="23" s="1"/>
  <c r="I21" i="22"/>
  <c r="I22" i="22" s="1"/>
  <c r="E22" i="22"/>
  <c r="E24" i="23" l="1"/>
  <c r="E23" i="22"/>
  <c r="I23" i="22" s="1"/>
  <c r="I24" i="22" s="1"/>
  <c r="H9" i="22" s="1"/>
  <c r="H11" i="22" s="1"/>
  <c r="E24" i="22" l="1"/>
  <c r="K21" i="1"/>
  <c r="K22" i="1"/>
  <c r="C64" i="2" l="1"/>
  <c r="C61" i="7" s="1"/>
  <c r="H33" i="2" l="1"/>
  <c r="E28" i="1"/>
  <c r="E26" i="1"/>
  <c r="E25" i="1"/>
  <c r="B25" i="7"/>
  <c r="B29" i="7" s="1"/>
  <c r="B22" i="7"/>
  <c r="B22" i="2"/>
  <c r="B25" i="2" s="1"/>
  <c r="B29" i="2" s="1"/>
  <c r="D33" i="7"/>
  <c r="D33" i="2"/>
  <c r="K20" i="1" l="1"/>
  <c r="F38" i="2" l="1"/>
  <c r="G38" i="2"/>
  <c r="E38" i="2"/>
  <c r="D37" i="2" l="1"/>
  <c r="C37" i="2"/>
  <c r="D34" i="2"/>
  <c r="C34" i="2"/>
  <c r="F38" i="7"/>
  <c r="G38" i="7"/>
  <c r="E38" i="7"/>
  <c r="C37" i="7"/>
  <c r="C34" i="7"/>
  <c r="D37" i="7"/>
  <c r="H34" i="2"/>
  <c r="I34" i="2" s="1"/>
  <c r="H34" i="7" l="1"/>
  <c r="I34" i="7" s="1"/>
  <c r="H37" i="7"/>
  <c r="I37" i="7" s="1"/>
  <c r="H37" i="2"/>
  <c r="I37" i="2" s="1"/>
  <c r="D34" i="7"/>
  <c r="H20" i="7" l="1"/>
  <c r="M27" i="2"/>
  <c r="I25" i="2"/>
  <c r="F26" i="2"/>
  <c r="G26" i="2"/>
  <c r="H26" i="2"/>
  <c r="E26" i="2"/>
  <c r="D25" i="2"/>
  <c r="C25" i="2"/>
  <c r="I19" i="2"/>
  <c r="I22" i="2"/>
  <c r="D22" i="2"/>
  <c r="C22" i="2"/>
  <c r="B33" i="2"/>
  <c r="B34" i="2" s="1"/>
  <c r="B35" i="2" s="1"/>
  <c r="B37" i="2" s="1"/>
  <c r="B41" i="2" s="1"/>
  <c r="D19" i="2"/>
  <c r="C19" i="2"/>
  <c r="M27" i="7"/>
  <c r="I22" i="7"/>
  <c r="I25" i="7"/>
  <c r="I26" i="2" l="1"/>
  <c r="H64" i="2"/>
  <c r="H30" i="7" l="1"/>
  <c r="G30" i="7"/>
  <c r="F26" i="7"/>
  <c r="G26" i="7"/>
  <c r="H26" i="7"/>
  <c r="E26" i="7"/>
  <c r="F23" i="7"/>
  <c r="G23" i="7"/>
  <c r="H23" i="7"/>
  <c r="H27" i="7" s="1"/>
  <c r="H31" i="7" s="1"/>
  <c r="I19" i="7"/>
  <c r="H61" i="7" l="1"/>
  <c r="H32" i="1" l="1"/>
  <c r="H31" i="1" l="1"/>
  <c r="F33" i="1"/>
  <c r="F49" i="7" l="1"/>
  <c r="G49" i="7"/>
  <c r="E49" i="7"/>
  <c r="E49" i="2"/>
  <c r="F49" i="2"/>
  <c r="G49" i="2"/>
  <c r="C48" i="2"/>
  <c r="C48" i="7"/>
  <c r="D47" i="2" l="1"/>
  <c r="C47" i="2"/>
  <c r="D46" i="2"/>
  <c r="C46" i="2"/>
  <c r="D45" i="2"/>
  <c r="C45" i="2"/>
  <c r="C47" i="7"/>
  <c r="C46" i="7"/>
  <c r="C45" i="7" l="1"/>
  <c r="I48" i="2" l="1"/>
  <c r="H47" i="2" l="1"/>
  <c r="I47" i="2" s="1"/>
  <c r="I47" i="7"/>
  <c r="H46" i="2"/>
  <c r="I46" i="2" s="1"/>
  <c r="I46" i="7"/>
  <c r="H45" i="2"/>
  <c r="I55" i="7" l="1"/>
  <c r="I58" i="2"/>
  <c r="I48" i="7"/>
  <c r="H35" i="7" l="1"/>
  <c r="H38" i="7" s="1"/>
  <c r="I54" i="7" l="1"/>
  <c r="I57" i="2"/>
  <c r="B2" i="8" s="1"/>
  <c r="C29" i="2" l="1"/>
  <c r="D35" i="7" l="1"/>
  <c r="H35" i="2"/>
  <c r="B33" i="7" l="1"/>
  <c r="B34" i="7" s="1"/>
  <c r="B35" i="7" s="1"/>
  <c r="B36" i="7" l="1"/>
  <c r="B37" i="7"/>
  <c r="B41" i="7" s="1"/>
  <c r="B44" i="7" s="1"/>
  <c r="B45" i="7" s="1"/>
  <c r="B14" i="2" l="1"/>
  <c r="F23" i="2"/>
  <c r="G23" i="2" l="1"/>
  <c r="H23" i="2"/>
  <c r="E23" i="7"/>
  <c r="D25" i="17"/>
  <c r="D25" i="21"/>
  <c r="I23" i="2" l="1"/>
  <c r="E23" i="2"/>
  <c r="J23" i="2" l="1"/>
  <c r="G37" i="21"/>
  <c r="D37" i="21"/>
  <c r="G35" i="21"/>
  <c r="D35" i="21"/>
  <c r="G33" i="21"/>
  <c r="D33" i="21"/>
  <c r="G31" i="21"/>
  <c r="D27" i="21"/>
  <c r="C27" i="21"/>
  <c r="A27" i="21"/>
  <c r="C25" i="21"/>
  <c r="C23" i="21"/>
  <c r="H22" i="21"/>
  <c r="H24" i="21" s="1"/>
  <c r="H26" i="21" s="1"/>
  <c r="G22" i="21"/>
  <c r="G24" i="21" s="1"/>
  <c r="G26" i="21" s="1"/>
  <c r="F22" i="21"/>
  <c r="E22" i="21"/>
  <c r="I21" i="21"/>
  <c r="I20" i="21"/>
  <c r="B20" i="21"/>
  <c r="B21" i="21" s="1"/>
  <c r="B23" i="21" s="1"/>
  <c r="B25" i="21" s="1"/>
  <c r="B27" i="21" s="1"/>
  <c r="I19" i="21"/>
  <c r="B19" i="21"/>
  <c r="I18" i="21"/>
  <c r="I10" i="21"/>
  <c r="H10" i="21"/>
  <c r="B1" i="21"/>
  <c r="F20" i="2"/>
  <c r="E20" i="2" l="1"/>
  <c r="H20" i="2"/>
  <c r="G20" i="2"/>
  <c r="I22" i="21"/>
  <c r="G27" i="21"/>
  <c r="G28" i="21" s="1"/>
  <c r="H27" i="21"/>
  <c r="H28" i="21" s="1"/>
  <c r="D36" i="7" l="1"/>
  <c r="D36" i="2"/>
  <c r="B23" i="17" l="1"/>
  <c r="I35" i="2" l="1"/>
  <c r="I36" i="2"/>
  <c r="H38" i="2"/>
  <c r="I36" i="7"/>
  <c r="I33" i="7"/>
  <c r="C35" i="7"/>
  <c r="C36" i="7"/>
  <c r="C29" i="7"/>
  <c r="C25" i="17"/>
  <c r="F20" i="7"/>
  <c r="E20" i="7"/>
  <c r="C36" i="2"/>
  <c r="C35" i="2"/>
  <c r="F27" i="7" l="1"/>
  <c r="E27" i="7"/>
  <c r="I33" i="2"/>
  <c r="I38" i="2" s="1"/>
  <c r="I35" i="7"/>
  <c r="I38" i="7" s="1"/>
  <c r="B25" i="17"/>
  <c r="C23" i="17"/>
  <c r="B1" i="17"/>
  <c r="G37" i="17"/>
  <c r="D37" i="17"/>
  <c r="G35" i="17"/>
  <c r="D35" i="17"/>
  <c r="G33" i="17"/>
  <c r="D33" i="17"/>
  <c r="G31" i="17"/>
  <c r="D27" i="17"/>
  <c r="C27" i="17"/>
  <c r="A27" i="17"/>
  <c r="H22" i="17"/>
  <c r="H24" i="17" s="1"/>
  <c r="H26" i="17" s="1"/>
  <c r="G22" i="17"/>
  <c r="F22" i="17"/>
  <c r="E22" i="17"/>
  <c r="I21" i="17"/>
  <c r="I20" i="17"/>
  <c r="I19" i="17"/>
  <c r="B19" i="17"/>
  <c r="B20" i="17" s="1"/>
  <c r="B21" i="17" s="1"/>
  <c r="I18" i="17"/>
  <c r="I10" i="17"/>
  <c r="H10" i="17"/>
  <c r="J38" i="2" l="1"/>
  <c r="J38" i="7"/>
  <c r="E27" i="2"/>
  <c r="G24" i="17"/>
  <c r="G26" i="17" s="1"/>
  <c r="G27" i="17" s="1"/>
  <c r="I22" i="17"/>
  <c r="B27" i="17"/>
  <c r="H27" i="17"/>
  <c r="H28" i="17" s="1"/>
  <c r="G28" i="17" l="1"/>
  <c r="G27" i="2"/>
  <c r="I26" i="7"/>
  <c r="F27" i="2" l="1"/>
  <c r="G23" i="1"/>
  <c r="A23" i="17" l="1"/>
  <c r="A23" i="21"/>
  <c r="D23" i="17"/>
  <c r="D23" i="21"/>
  <c r="D29" i="7"/>
  <c r="D29" i="2" s="1"/>
  <c r="A29" i="7"/>
  <c r="F29" i="7" l="1"/>
  <c r="F30" i="7" s="1"/>
  <c r="F31" i="7" s="1"/>
  <c r="E29" i="7"/>
  <c r="A29" i="2"/>
  <c r="E23" i="21"/>
  <c r="F23" i="21"/>
  <c r="F24" i="21" s="1"/>
  <c r="F25" i="21" s="1"/>
  <c r="F26" i="21" s="1"/>
  <c r="F27" i="21" s="1"/>
  <c r="F28" i="21" s="1"/>
  <c r="E23" i="17"/>
  <c r="E24" i="17" s="1"/>
  <c r="F23" i="17"/>
  <c r="F24" i="17" s="1"/>
  <c r="E30" i="7" l="1"/>
  <c r="E31" i="7" s="1"/>
  <c r="I29" i="7"/>
  <c r="I30" i="7" s="1"/>
  <c r="F29" i="2"/>
  <c r="F30" i="2" s="1"/>
  <c r="F31" i="2" s="1"/>
  <c r="E29" i="2"/>
  <c r="E30" i="2" s="1"/>
  <c r="E31" i="2" s="1"/>
  <c r="E24" i="21"/>
  <c r="I23" i="21"/>
  <c r="I24" i="21" s="1"/>
  <c r="I23" i="17"/>
  <c r="I24" i="17" s="1"/>
  <c r="F25" i="17"/>
  <c r="F26" i="17" s="1"/>
  <c r="F27" i="17" s="1"/>
  <c r="F28" i="17" s="1"/>
  <c r="E25" i="17"/>
  <c r="E26" i="17" s="1"/>
  <c r="E27" i="17" s="1"/>
  <c r="E25" i="21" l="1"/>
  <c r="I25" i="21" s="1"/>
  <c r="I26" i="21" s="1"/>
  <c r="I27" i="17"/>
  <c r="I25" i="17"/>
  <c r="I26" i="17" s="1"/>
  <c r="E28" i="17"/>
  <c r="E26" i="21" l="1"/>
  <c r="E27" i="21" s="1"/>
  <c r="I27" i="21" s="1"/>
  <c r="I28" i="21" s="1"/>
  <c r="H9" i="21" s="1"/>
  <c r="H11" i="21" s="1"/>
  <c r="I28" i="17"/>
  <c r="H9" i="17" s="1"/>
  <c r="H11" i="17" s="1"/>
  <c r="E28" i="21" l="1"/>
  <c r="I45" i="2"/>
  <c r="C52" i="2" l="1"/>
  <c r="C44" i="2"/>
  <c r="D35" i="2"/>
  <c r="C52" i="7"/>
  <c r="C44" i="7"/>
  <c r="I45" i="7" l="1"/>
  <c r="G20" i="7" l="1"/>
  <c r="H58" i="7"/>
  <c r="C61" i="2"/>
  <c r="C58" i="7" s="1"/>
  <c r="H61" i="2"/>
  <c r="G27" i="7" l="1"/>
  <c r="I23" i="7"/>
  <c r="J23" i="7"/>
  <c r="G31" i="7" l="1"/>
  <c r="A41" i="7"/>
  <c r="A41" i="2"/>
  <c r="C33" i="2" l="1"/>
  <c r="D2" i="7"/>
  <c r="C41" i="7" l="1"/>
  <c r="C41" i="2" s="1"/>
  <c r="G30" i="2" l="1"/>
  <c r="H30" i="2"/>
  <c r="G31" i="2" l="1"/>
  <c r="G39" i="2" l="1"/>
  <c r="G50" i="2" s="1"/>
  <c r="G39" i="7"/>
  <c r="G50" i="7" s="1"/>
  <c r="G52" i="7" s="1"/>
  <c r="G53" i="7" l="1"/>
  <c r="H39" i="7" l="1"/>
  <c r="D12" i="7" l="1"/>
  <c r="B1" i="22" s="1"/>
  <c r="B1" i="23" s="1"/>
  <c r="D12" i="2"/>
  <c r="A7" i="8" l="1"/>
  <c r="A4" i="8" l="1"/>
  <c r="D2" i="2" l="1"/>
  <c r="A52" i="2"/>
  <c r="G52" i="2" s="1"/>
  <c r="C33" i="7"/>
  <c r="G53" i="2" l="1"/>
  <c r="G55" i="2" l="1"/>
  <c r="G56" i="2" s="1"/>
  <c r="D56" i="2"/>
  <c r="H27" i="2"/>
  <c r="F39" i="7" l="1"/>
  <c r="F50" i="7" s="1"/>
  <c r="F52" i="7" s="1"/>
  <c r="I20" i="7" l="1"/>
  <c r="J20" i="7"/>
  <c r="B36" i="2"/>
  <c r="F39" i="2"/>
  <c r="F50" i="2" s="1"/>
  <c r="F52" i="2" s="1"/>
  <c r="H31" i="2"/>
  <c r="H39" i="2" s="1"/>
  <c r="I20" i="2"/>
  <c r="J20" i="2" l="1"/>
  <c r="J27" i="7"/>
  <c r="I27" i="7"/>
  <c r="B44" i="2"/>
  <c r="B45" i="2" s="1"/>
  <c r="B46" i="7"/>
  <c r="B47" i="7" s="1"/>
  <c r="B48" i="7" s="1"/>
  <c r="B52" i="7" s="1"/>
  <c r="J30" i="7"/>
  <c r="I31" i="7" l="1"/>
  <c r="J31" i="7"/>
  <c r="B46" i="2"/>
  <c r="B47" i="2" s="1"/>
  <c r="B48" i="2" s="1"/>
  <c r="B52" i="2" s="1"/>
  <c r="B55" i="2" s="1"/>
  <c r="J27" i="2"/>
  <c r="I27" i="2"/>
  <c r="F53" i="2"/>
  <c r="E39" i="7" l="1"/>
  <c r="I39" i="7"/>
  <c r="F55" i="2"/>
  <c r="F56" i="2" s="1"/>
  <c r="I29" i="2"/>
  <c r="H41" i="7" l="1"/>
  <c r="H42" i="7" s="1"/>
  <c r="D41" i="7"/>
  <c r="I30" i="2"/>
  <c r="I31" i="2" s="1"/>
  <c r="E50" i="7"/>
  <c r="E52" i="7" s="1"/>
  <c r="J39" i="7"/>
  <c r="D44" i="7"/>
  <c r="H44" i="7"/>
  <c r="H49" i="7" s="1"/>
  <c r="J30" i="2"/>
  <c r="I41" i="7" l="1"/>
  <c r="E53" i="7"/>
  <c r="J31" i="2"/>
  <c r="I44" i="7"/>
  <c r="I49" i="7" s="1"/>
  <c r="F53" i="7"/>
  <c r="J49" i="7" l="1"/>
  <c r="E39" i="2"/>
  <c r="H50" i="7"/>
  <c r="H52" i="7" s="1"/>
  <c r="I52" i="7" s="1"/>
  <c r="I42" i="7"/>
  <c r="E50" i="2" l="1"/>
  <c r="J50" i="7"/>
  <c r="I50" i="7"/>
  <c r="I39" i="2" l="1"/>
  <c r="E52" i="2"/>
  <c r="E53" i="2" s="1"/>
  <c r="J39" i="2"/>
  <c r="H41" i="2" l="1"/>
  <c r="I41" i="2" s="1"/>
  <c r="I42" i="2" s="1"/>
  <c r="D41" i="2"/>
  <c r="D44" i="2"/>
  <c r="H44" i="2"/>
  <c r="H49" i="2" s="1"/>
  <c r="H42" i="2"/>
  <c r="E55" i="2"/>
  <c r="E56" i="2" s="1"/>
  <c r="B8" i="8" s="1"/>
  <c r="B5" i="8"/>
  <c r="H53" i="7"/>
  <c r="J53" i="7" s="1"/>
  <c r="I44" i="2" l="1"/>
  <c r="I49" i="2" s="1"/>
  <c r="I50" i="2" s="1"/>
  <c r="H50" i="2"/>
  <c r="J50" i="2" l="1"/>
  <c r="H52" i="2"/>
  <c r="H53" i="2" s="1"/>
  <c r="H55" i="2" s="1"/>
  <c r="I55" i="2" s="1"/>
  <c r="I53" i="7"/>
  <c r="C6" i="7" s="1"/>
  <c r="H56" i="2" l="1"/>
  <c r="I52" i="2"/>
  <c r="I53" i="2" s="1"/>
  <c r="B4" i="8" s="1"/>
  <c r="J53" i="2" l="1"/>
  <c r="I56" i="2"/>
  <c r="C6" i="2" s="1"/>
  <c r="J56" i="2"/>
  <c r="B7" i="8" l="1"/>
  <c r="B10" i="8" s="1"/>
</calcChain>
</file>

<file path=xl/comments1.xml><?xml version="1.0" encoding="utf-8"?>
<comments xmlns="http://schemas.openxmlformats.org/spreadsheetml/2006/main">
  <authors>
    <author>Автор</author>
  </authors>
  <commentList>
    <comment ref="E17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04.01.2001  № 3412/10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imes New Roman"/>
            <family val="1"/>
            <charset val="204"/>
          </rPr>
          <t>Письмо Госстроя России от 07.10.1999 № АШ-9/10</t>
        </r>
      </text>
    </comment>
  </commentList>
</comments>
</file>

<file path=xl/sharedStrings.xml><?xml version="1.0" encoding="utf-8"?>
<sst xmlns="http://schemas.openxmlformats.org/spreadsheetml/2006/main" count="318" uniqueCount="162">
  <si>
    <t>Объект</t>
  </si>
  <si>
    <t xml:space="preserve">Изыскания </t>
  </si>
  <si>
    <t xml:space="preserve">Проектные </t>
  </si>
  <si>
    <t>Экспертиза</t>
  </si>
  <si>
    <t xml:space="preserve">ПРОЧИЕ ЗАТРАТЫ </t>
  </si>
  <si>
    <t>база</t>
  </si>
  <si>
    <t>текущие</t>
  </si>
  <si>
    <t>%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</si>
  <si>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</si>
  <si>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</si>
  <si>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</si>
  <si>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</si>
  <si>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</si>
  <si>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</si>
  <si>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Сметная стоимость, тыс. руб.</t>
  </si>
  <si>
    <t>монтажных работ</t>
  </si>
  <si>
    <t>№ п/п</t>
  </si>
  <si>
    <t>Сметная стоимость, тыс.руб.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</si>
  <si>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</si>
  <si>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</si>
  <si>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</si>
  <si>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</si>
  <si>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</si>
  <si>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</si>
  <si>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</si>
  <si>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</si>
  <si>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</si>
  <si>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 xml:space="preserve">Составлен в базисном уровне цен 2001г. </t>
  </si>
  <si>
    <t xml:space="preserve"> тыс. руб.</t>
  </si>
  <si>
    <t>Глава 1. Подготовка территории строительства</t>
  </si>
  <si>
    <t>Главный инженер проекта</t>
  </si>
  <si>
    <t>Составил</t>
  </si>
  <si>
    <t>Проверил</t>
  </si>
  <si>
    <t>Итого по Главе 1</t>
  </si>
  <si>
    <t>Глава 2. Основные объекты строительства</t>
  </si>
  <si>
    <t>Итого по Главе 2</t>
  </si>
  <si>
    <t>Итого по по главам 1-7</t>
  </si>
  <si>
    <t>Глава 8. Временные здания и сооружения</t>
  </si>
  <si>
    <t>Итого по Главе 8</t>
  </si>
  <si>
    <t>Итого по по главам 1-8</t>
  </si>
  <si>
    <t>Глава 9. Прочие работы и затраты</t>
  </si>
  <si>
    <t>Итого по Главе 9</t>
  </si>
  <si>
    <t>Итого по по главам 1-9</t>
  </si>
  <si>
    <t>Итого по Главе 12</t>
  </si>
  <si>
    <t>Итого по по главам 1-12</t>
  </si>
  <si>
    <t>Непредвиденные затраты</t>
  </si>
  <si>
    <t>Итого с непредвиденными</t>
  </si>
  <si>
    <t>Налоги и обязательные платежи</t>
  </si>
  <si>
    <t xml:space="preserve">НДС 20% </t>
  </si>
  <si>
    <t>Возвратные суммы</t>
  </si>
  <si>
    <t>Заказчик:</t>
  </si>
  <si>
    <t>в том числе строительно-монтажных работ</t>
  </si>
  <si>
    <t xml:space="preserve">в том числе строительно-монтажных работ </t>
  </si>
  <si>
    <t xml:space="preserve"> тыс. руб. </t>
  </si>
  <si>
    <t>Глава 10. Содержание службы заказчика. Строительный контроль</t>
  </si>
  <si>
    <t>Строительный контроль</t>
  </si>
  <si>
    <t>Итого по Главе 10</t>
  </si>
  <si>
    <t>Непредвиденные работы и затраты 3%</t>
  </si>
  <si>
    <t>Непредвиденные работы и затраты</t>
  </si>
  <si>
    <t>Пусконаладка</t>
  </si>
  <si>
    <t>Итого</t>
  </si>
  <si>
    <t>Всего</t>
  </si>
  <si>
    <t>Основание ________________________________________________________________________________</t>
  </si>
  <si>
    <t>Сметная стоимость ______________________________________________________________</t>
  </si>
  <si>
    <t>Расчетный измеритель
объекта капитального строительства _____________________________________________</t>
  </si>
  <si>
    <t>Показатель единичной стоимости
на расчетный измеритель объекта капитальнго строительства_________________________</t>
  </si>
  <si>
    <t xml:space="preserve"> руб.</t>
  </si>
  <si>
    <t>Обоснование</t>
  </si>
  <si>
    <t>Наименование локальных сметных расчетов (смет), затрат</t>
  </si>
  <si>
    <t>строительных (ремонтно-строительных, ремонтно-реставрационных)
работ</t>
  </si>
  <si>
    <t>оборудования</t>
  </si>
  <si>
    <t>прочих
затрат</t>
  </si>
  <si>
    <t>Методика утв. Приказом Минстрой РФ от 04.08.2020г. №421/пр п.173</t>
  </si>
  <si>
    <t xml:space="preserve">Авторский надзор </t>
  </si>
  <si>
    <t>Методика утв. Приказом Минстрой РФ от 04.08.2020г. №421/пр п.179</t>
  </si>
  <si>
    <t>тек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</si>
  <si>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</si>
  <si>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Наименование глав, объекто, капиталного строительства, работ и затрат</t>
  </si>
  <si>
    <t>строительных (ремонтно-строительных, ремонтно-реставрационных) работ</t>
  </si>
  <si>
    <t>прочих затрат</t>
  </si>
  <si>
    <t>Закон РФ от 03.08.18 г.
№303-ФЗ.</t>
  </si>
  <si>
    <t>Стоимость размещения отходов на полигоне ТБО</t>
  </si>
  <si>
    <t>СР-1</t>
  </si>
  <si>
    <t>Глава 7. Благоустройство и озеленение территории</t>
  </si>
  <si>
    <t>Итого по Главе 7</t>
  </si>
  <si>
    <t>ОБЪЕКТНЫЙ СМЕТНЫЙ РАСЧЕТ № ОС-06-01</t>
  </si>
  <si>
    <t>ЛС-06-01-01</t>
  </si>
  <si>
    <t>ЛС-06-01-02</t>
  </si>
  <si>
    <t>ЛС-06-01-03</t>
  </si>
  <si>
    <t>ЛС-06-01-04</t>
  </si>
  <si>
    <t>Хозяйственно-питевой водопровод</t>
  </si>
  <si>
    <t>Ливневая канализация</t>
  </si>
  <si>
    <t>Хозяйственно-бытовая канализация</t>
  </si>
  <si>
    <t>Переустройство тепловых сетей</t>
  </si>
  <si>
    <t xml:space="preserve">Наружные сети и сооружения водоснабжения, водоотведения, теплоснабжения и газоснабжения </t>
  </si>
  <si>
    <t xml:space="preserve">Наружные сети и сооружения водоснабжения, водоотведения, теплоснабжения и газоснабжения  </t>
  </si>
  <si>
    <t xml:space="preserve">Составлен в текущем уровне цен 1 кв.2021г. </t>
  </si>
  <si>
    <t>Плата за технологическое присоединение к сетям АО "ДРСК"</t>
  </si>
  <si>
    <t>Разработка проектной документации</t>
  </si>
  <si>
    <t>Проведение государственной экспертизы по объекту</t>
  </si>
  <si>
    <t>Разработка рабочей документации</t>
  </si>
  <si>
    <t>СВОДНЫЙ СМЕТНЫЙ РАСЧЕТ СТОИМОСТИ СТРОИТЕЛЬСТВА № ССРСР-01</t>
  </si>
  <si>
    <t>СВОДНЫЙ СМЕТНЫЙ РАСЧЕТ СТОИМОСТИ СТРОИТЕЛЬСТВА№ ССРСР-01</t>
  </si>
  <si>
    <t xml:space="preserve">Генеральный директор </t>
  </si>
  <si>
    <t>Объект-аналог</t>
  </si>
  <si>
    <t>Возвратные суммы, тыс. руб.</t>
  </si>
  <si>
    <t>Возвратные суммы с НДС, тыс. руб.</t>
  </si>
  <si>
    <t>Ущерб водным биоресурсам</t>
  </si>
  <si>
    <t>Прил. №5</t>
  </si>
  <si>
    <t>тыс. руб.</t>
  </si>
  <si>
    <t>Постановление Правительства РФ от 21.06.2010г. №468</t>
  </si>
  <si>
    <t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t>
  </si>
  <si>
    <t>Договор субподряда</t>
  </si>
  <si>
    <t>Заказчик(Подрядчик):</t>
  </si>
  <si>
    <t>Директор</t>
  </si>
  <si>
    <t>А.Ю.Харченко</t>
  </si>
  <si>
    <t>Исполнитель (Субподрядчик)</t>
  </si>
  <si>
    <t xml:space="preserve"> ООО "ИВЦ "Энергоактив""</t>
  </si>
  <si>
    <t>С.В. Лопашук</t>
  </si>
  <si>
    <t>Внешние инженерные сети теплоснабжения (Оплата труда)</t>
  </si>
  <si>
    <t>Внешние инженерные сети теплоснабжения (Материалы)</t>
  </si>
  <si>
    <t>Внешние инженерные сети теплоснабжения (Эксплуатация машин)</t>
  </si>
  <si>
    <t>Прочие  (По объектам непроизводственного назначения)</t>
  </si>
  <si>
    <t>Прил. №6</t>
  </si>
  <si>
    <t>Оборуд  (По объектам непроизводственного назначения)</t>
  </si>
  <si>
    <t>Прил. 4</t>
  </si>
  <si>
    <t>Методика утв. Приказом Минстрой РФ от 19.06.20г. №332/пр, Приложение 1, п.53</t>
  </si>
  <si>
    <t>Постановление Правительства РФ №145от 05.03.2007г.</t>
  </si>
  <si>
    <t>Н.В.Петров</t>
  </si>
  <si>
    <t>А.В.Исаев</t>
  </si>
  <si>
    <t>Расчёт платы за негативное воздействие на окружающую среду (выбросы загрязняющих веществ в атмосферу)</t>
  </si>
  <si>
    <t>Расчёт платы за негативное воздействие на окружающую среду (размещеие отходов)</t>
  </si>
  <si>
    <t>Расчет затрат на экологический мониторинг</t>
  </si>
  <si>
    <t xml:space="preserve">        Стоимость 1 км составила -  </t>
  </si>
  <si>
    <t>Общая протяженность</t>
  </si>
  <si>
    <t>м</t>
  </si>
  <si>
    <t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</t>
  </si>
  <si>
    <t>№01/Пд/09-01-23-3</t>
  </si>
  <si>
    <t>09-01-23-3-ООС  таб.3.1</t>
  </si>
  <si>
    <t>В том числе ПИР</t>
  </si>
  <si>
    <t>Тепловые сети</t>
  </si>
  <si>
    <t xml:space="preserve">Восстановление благоустройства </t>
  </si>
  <si>
    <t>ЛС-02-01-01</t>
  </si>
  <si>
    <t>ЛС-07-01-01</t>
  </si>
  <si>
    <t>ОБЪЕКТНЫЙ СМЕТНЫЙ РАСЧЕТ № ОС-01-01</t>
  </si>
  <si>
    <t xml:space="preserve">Подготовительные работы </t>
  </si>
  <si>
    <t xml:space="preserve">Составлен в базисном уровне цен 2001г.  </t>
  </si>
  <si>
    <t>ОС-01-01</t>
  </si>
  <si>
    <t>1 квартал 2023 г.</t>
  </si>
  <si>
    <t>Письмо Минстроя России 
от 30.03.2023г. №17106-ИФ/09</t>
  </si>
  <si>
    <t>Прил. 1</t>
  </si>
  <si>
    <t>Письмо Минстроя России 
от 23.02.2023г. № 9791-ИФ/09</t>
  </si>
  <si>
    <t>Письмо Минстроя России 
от 30.01.2023г. № 4125-ИФ/09</t>
  </si>
  <si>
    <t xml:space="preserve"> Смета №1-4</t>
  </si>
  <si>
    <t>Смета №5</t>
  </si>
  <si>
    <t>Смета №6</t>
  </si>
  <si>
    <t>"Утвержден" «    »________________2023 г.</t>
  </si>
  <si>
    <t>Составлен в текущем уровне цен 1 кв.2023 г</t>
  </si>
  <si>
    <t>Стоимость возвратных сумм на 1 квартал 2023г. определилась в размере</t>
  </si>
  <si>
    <t>НДС</t>
  </si>
  <si>
    <t>ООО "Сервер"</t>
  </si>
  <si>
    <t>09-01-23-3 «Реконструкция распределительных и квартальных тепловых сетей г. Благовещенска Амурской области» Объект 5 (Тепловые сети по ул. Кузнечная от ТК-30А (БТЭЦ) до ТК-28 L=279,8 м D=273мм)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</si>
</sst>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"/>
    <numFmt numFmtId="166" formatCode="0.000"/>
    <numFmt numFmtId="167" formatCode="#,##0.000"/>
    <numFmt numFmtId="168" formatCode="0.0%"/>
  </numFmts>
  <fonts count="4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Журнал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Times New Roman Cyr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Arial Cyr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.5"/>
      <name val="Times New Roman Cyr"/>
      <family val="1"/>
      <charset val="204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0.5"/>
      <name val="Times New Roman Cyr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0"/>
      <color rgb="FFFF0000"/>
      <name val="Cambria"/>
      <family val="1"/>
      <charset val="204"/>
    </font>
    <font>
      <sz val="9"/>
      <color rgb="FF0000FF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rgb="FFFF0000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sz val="10"/>
      <color rgb="FF0000FF"/>
      <name val="Cambria"/>
      <family val="1"/>
      <charset val="204"/>
    </font>
    <font>
      <sz val="10"/>
      <name val="Times New Roman Cyr"/>
      <charset val="204"/>
    </font>
    <font>
      <i/>
      <sz val="10"/>
      <color rgb="FF0000FF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mbria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AD5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2" fontId="9" fillId="0" borderId="0"/>
    <xf numFmtId="0" fontId="9" fillId="0" borderId="0"/>
    <xf numFmtId="0" fontId="23" fillId="0" borderId="0"/>
  </cellStyleXfs>
  <cellXfs count="30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2" fontId="14" fillId="0" borderId="0" xfId="2" applyNumberFormat="1" applyFont="1" applyFill="1" applyAlignment="1">
      <alignment horizontal="left" vertical="center"/>
    </xf>
    <xf numFmtId="2" fontId="14" fillId="0" borderId="0" xfId="2" applyNumberFormat="1" applyFont="1" applyFill="1" applyAlignment="1">
      <alignment horizontal="center" vertical="center"/>
    </xf>
    <xf numFmtId="2" fontId="14" fillId="0" borderId="0" xfId="2" applyFont="1" applyFill="1" applyBorder="1" applyAlignment="1">
      <alignment vertical="center"/>
    </xf>
    <xf numFmtId="2" fontId="10" fillId="0" borderId="0" xfId="2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left" vertical="center"/>
    </xf>
    <xf numFmtId="4" fontId="4" fillId="0" borderId="14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4" fontId="17" fillId="0" borderId="14" xfId="0" applyNumberFormat="1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 wrapText="1"/>
    </xf>
    <xf numFmtId="4" fontId="17" fillId="0" borderId="14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1" fillId="0" borderId="14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1" fontId="1" fillId="0" borderId="14" xfId="0" applyNumberFormat="1" applyFont="1" applyFill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Alignment="1">
      <alignment horizontal="left" vertical="center"/>
    </xf>
    <xf numFmtId="10" fontId="2" fillId="0" borderId="18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4" fillId="0" borderId="0" xfId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/>
    <xf numFmtId="2" fontId="1" fillId="0" borderId="0" xfId="0" applyNumberFormat="1" applyFont="1" applyFill="1" applyAlignment="1">
      <alignment horizontal="left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 applyAlignment="1"/>
    <xf numFmtId="4" fontId="25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left"/>
    </xf>
    <xf numFmtId="4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2" fontId="26" fillId="0" borderId="14" xfId="1" applyNumberFormat="1" applyFont="1" applyFill="1" applyBorder="1" applyAlignment="1">
      <alignment horizontal="left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2" fontId="29" fillId="0" borderId="14" xfId="1" applyNumberFormat="1" applyFont="1" applyFill="1" applyBorder="1" applyAlignment="1">
      <alignment horizontal="left" vertical="center" wrapText="1"/>
    </xf>
    <xf numFmtId="4" fontId="24" fillId="0" borderId="14" xfId="0" applyNumberFormat="1" applyFont="1" applyBorder="1" applyAlignment="1">
      <alignment horizontal="center" vertical="center"/>
    </xf>
    <xf numFmtId="4" fontId="25" fillId="0" borderId="14" xfId="0" applyNumberFormat="1" applyFont="1" applyBorder="1" applyAlignment="1">
      <alignment horizontal="center" vertical="center"/>
    </xf>
    <xf numFmtId="2" fontId="28" fillId="0" borderId="14" xfId="0" applyNumberFormat="1" applyFont="1" applyFill="1" applyBorder="1" applyAlignment="1">
      <alignment horizontal="left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0" fontId="26" fillId="0" borderId="14" xfId="1" applyFont="1" applyFill="1" applyBorder="1" applyAlignment="1">
      <alignment horizontal="left" vertical="center" wrapText="1"/>
    </xf>
    <xf numFmtId="4" fontId="24" fillId="0" borderId="14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left"/>
    </xf>
    <xf numFmtId="4" fontId="25" fillId="0" borderId="14" xfId="0" applyNumberFormat="1" applyFont="1" applyBorder="1" applyAlignment="1">
      <alignment horizontal="center" vertical="center" wrapText="1"/>
    </xf>
    <xf numFmtId="0" fontId="30" fillId="0" borderId="0" xfId="0" applyFont="1"/>
    <xf numFmtId="4" fontId="12" fillId="0" borderId="14" xfId="0" applyNumberFormat="1" applyFont="1" applyFill="1" applyBorder="1" applyAlignment="1">
      <alignment horizontal="left" vertical="center" wrapText="1"/>
    </xf>
    <xf numFmtId="4" fontId="12" fillId="0" borderId="14" xfId="0" applyNumberFormat="1" applyFont="1" applyFill="1" applyBorder="1" applyAlignment="1">
      <alignment horizontal="right" vertical="center" wrapText="1"/>
    </xf>
    <xf numFmtId="1" fontId="12" fillId="0" borderId="14" xfId="0" applyNumberFormat="1" applyFont="1" applyFill="1" applyBorder="1" applyAlignment="1">
      <alignment horizontal="center" vertical="center"/>
    </xf>
    <xf numFmtId="10" fontId="33" fillId="0" borderId="0" xfId="0" applyNumberFormat="1" applyFont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 wrapText="1"/>
    </xf>
    <xf numFmtId="4" fontId="31" fillId="0" borderId="0" xfId="0" applyNumberFormat="1" applyFont="1" applyAlignment="1">
      <alignment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10" fontId="2" fillId="0" borderId="18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left" vertical="center" wrapText="1"/>
    </xf>
    <xf numFmtId="2" fontId="12" fillId="0" borderId="1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/>
    <xf numFmtId="0" fontId="17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2" fontId="12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3" fontId="1" fillId="0" borderId="14" xfId="0" applyNumberFormat="1" applyFont="1" applyFill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14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2" borderId="1" xfId="0" applyFont="1" applyFill="1" applyBorder="1" applyAlignment="1">
      <alignment vertical="center"/>
    </xf>
    <xf numFmtId="0" fontId="32" fillId="2" borderId="0" xfId="0" applyFont="1" applyFill="1" applyAlignment="1">
      <alignment vertical="center"/>
    </xf>
    <xf numFmtId="0" fontId="37" fillId="2" borderId="0" xfId="0" applyFont="1" applyFill="1"/>
    <xf numFmtId="0" fontId="32" fillId="2" borderId="6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7" fillId="0" borderId="0" xfId="0" applyFont="1"/>
    <xf numFmtId="0" fontId="32" fillId="0" borderId="0" xfId="0" applyFont="1" applyFill="1" applyBorder="1" applyAlignment="1">
      <alignment vertical="center"/>
    </xf>
    <xf numFmtId="0" fontId="32" fillId="0" borderId="0" xfId="0" applyFont="1"/>
    <xf numFmtId="0" fontId="38" fillId="2" borderId="1" xfId="0" applyFont="1" applyFill="1" applyBorder="1" applyAlignment="1">
      <alignment vertical="center"/>
    </xf>
    <xf numFmtId="0" fontId="38" fillId="2" borderId="0" xfId="0" applyFont="1" applyFill="1" applyAlignment="1">
      <alignment vertical="center"/>
    </xf>
    <xf numFmtId="0" fontId="31" fillId="2" borderId="0" xfId="0" applyFont="1" applyFill="1"/>
    <xf numFmtId="0" fontId="38" fillId="2" borderId="0" xfId="0" applyFont="1" applyFill="1" applyBorder="1" applyAlignment="1">
      <alignment horizontal="left" vertical="center" wrapText="1"/>
    </xf>
    <xf numFmtId="0" fontId="38" fillId="2" borderId="0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vertical="center"/>
    </xf>
    <xf numFmtId="0" fontId="31" fillId="0" borderId="0" xfId="0" applyFont="1"/>
    <xf numFmtId="164" fontId="38" fillId="0" borderId="0" xfId="0" applyNumberFormat="1" applyFont="1" applyFill="1" applyBorder="1" applyAlignment="1">
      <alignment horizontal="center" vertical="center"/>
    </xf>
    <xf numFmtId="2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2" borderId="14" xfId="0" applyFont="1" applyFill="1" applyBorder="1" applyAlignment="1">
      <alignment vertical="center" wrapText="1"/>
    </xf>
    <xf numFmtId="0" fontId="38" fillId="0" borderId="0" xfId="0" applyFont="1" applyFill="1" applyAlignment="1">
      <alignment vertical="center"/>
    </xf>
    <xf numFmtId="10" fontId="2" fillId="0" borderId="0" xfId="0" applyNumberFormat="1" applyFont="1" applyFill="1" applyAlignment="1">
      <alignment horizontal="center" vertical="center"/>
    </xf>
    <xf numFmtId="0" fontId="38" fillId="2" borderId="14" xfId="0" applyFont="1" applyFill="1" applyBorder="1" applyAlignment="1">
      <alignment vertical="center"/>
    </xf>
    <xf numFmtId="3" fontId="10" fillId="0" borderId="14" xfId="1" applyNumberFormat="1" applyFont="1" applyFill="1" applyBorder="1" applyAlignment="1">
      <alignment horizontal="center" vertical="center" wrapText="1"/>
    </xf>
    <xf numFmtId="4" fontId="17" fillId="0" borderId="14" xfId="0" applyNumberFormat="1" applyFont="1" applyFill="1" applyBorder="1" applyAlignment="1">
      <alignment horizontal="right" vertical="center"/>
    </xf>
    <xf numFmtId="4" fontId="17" fillId="0" borderId="14" xfId="0" applyNumberFormat="1" applyFont="1" applyFill="1" applyBorder="1" applyAlignment="1">
      <alignment vertical="center" wrapText="1"/>
    </xf>
    <xf numFmtId="4" fontId="17" fillId="0" borderId="1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2" fontId="30" fillId="0" borderId="14" xfId="0" applyNumberFormat="1" applyFont="1" applyBorder="1" applyAlignment="1">
      <alignment horizontal="center" vertical="center"/>
    </xf>
    <xf numFmtId="164" fontId="38" fillId="0" borderId="0" xfId="0" applyNumberFormat="1" applyFont="1" applyFill="1" applyBorder="1" applyAlignment="1">
      <alignment vertical="center"/>
    </xf>
    <xf numFmtId="4" fontId="17" fillId="3" borderId="14" xfId="0" applyNumberFormat="1" applyFont="1" applyFill="1" applyBorder="1" applyAlignment="1">
      <alignment vertical="center" wrapText="1"/>
    </xf>
    <xf numFmtId="4" fontId="17" fillId="3" borderId="14" xfId="0" applyNumberFormat="1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vertical="center"/>
    </xf>
    <xf numFmtId="1" fontId="17" fillId="0" borderId="14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/>
    </xf>
    <xf numFmtId="2" fontId="40" fillId="2" borderId="1" xfId="0" applyNumberFormat="1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>
      <alignment horizontal="left" vertical="center" wrapText="1"/>
    </xf>
    <xf numFmtId="2" fontId="41" fillId="0" borderId="14" xfId="1" applyNumberFormat="1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6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vertical="center"/>
    </xf>
    <xf numFmtId="4" fontId="17" fillId="4" borderId="14" xfId="0" applyNumberFormat="1" applyFont="1" applyFill="1" applyBorder="1" applyAlignment="1">
      <alignment vertical="center" wrapText="1"/>
    </xf>
    <xf numFmtId="4" fontId="17" fillId="4" borderId="14" xfId="0" applyNumberFormat="1" applyFont="1" applyFill="1" applyBorder="1" applyAlignment="1">
      <alignment vertical="center"/>
    </xf>
    <xf numFmtId="4" fontId="1" fillId="4" borderId="14" xfId="0" applyNumberFormat="1" applyFont="1" applyFill="1" applyBorder="1" applyAlignment="1">
      <alignment horizontal="right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34" fillId="4" borderId="14" xfId="0" applyNumberFormat="1" applyFont="1" applyFill="1" applyBorder="1" applyAlignment="1">
      <alignment vertical="center"/>
    </xf>
    <xf numFmtId="0" fontId="38" fillId="2" borderId="1" xfId="0" applyFont="1" applyFill="1" applyBorder="1" applyAlignment="1">
      <alignment horizontal="left" vertical="center" wrapText="1"/>
    </xf>
    <xf numFmtId="0" fontId="44" fillId="0" borderId="0" xfId="0" applyFont="1" applyAlignment="1">
      <alignment vertical="center"/>
    </xf>
    <xf numFmtId="0" fontId="44" fillId="0" borderId="14" xfId="0" applyFont="1" applyBorder="1" applyAlignment="1">
      <alignment vertical="center"/>
    </xf>
    <xf numFmtId="0" fontId="18" fillId="0" borderId="14" xfId="0" applyFont="1" applyFill="1" applyBorder="1" applyAlignment="1">
      <alignment horizontal="left" vertical="center" wrapText="1"/>
    </xf>
    <xf numFmtId="4" fontId="44" fillId="0" borderId="14" xfId="0" applyNumberFormat="1" applyFont="1" applyBorder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left" vertical="center"/>
    </xf>
    <xf numFmtId="4" fontId="18" fillId="0" borderId="14" xfId="0" applyNumberFormat="1" applyFont="1" applyFill="1" applyBorder="1" applyAlignment="1">
      <alignment horizontal="right" vertical="center"/>
    </xf>
    <xf numFmtId="4" fontId="1" fillId="3" borderId="14" xfId="0" applyNumberFormat="1" applyFont="1" applyFill="1" applyBorder="1" applyAlignment="1">
      <alignment horizontal="right" vertical="center" wrapText="1"/>
    </xf>
    <xf numFmtId="1" fontId="12" fillId="3" borderId="14" xfId="0" applyNumberFormat="1" applyFont="1" applyFill="1" applyBorder="1" applyAlignment="1">
      <alignment horizontal="center" vertical="center"/>
    </xf>
    <xf numFmtId="2" fontId="12" fillId="3" borderId="16" xfId="0" applyNumberFormat="1" applyFont="1" applyFill="1" applyBorder="1" applyAlignment="1">
      <alignment horizontal="left" vertical="center" wrapText="1"/>
    </xf>
    <xf numFmtId="4" fontId="21" fillId="3" borderId="14" xfId="0" applyNumberFormat="1" applyFont="1" applyFill="1" applyBorder="1" applyAlignment="1">
      <alignment horizontal="right" vertical="center" wrapText="1"/>
    </xf>
    <xf numFmtId="4" fontId="12" fillId="3" borderId="14" xfId="0" applyNumberFormat="1" applyFont="1" applyFill="1" applyBorder="1" applyAlignment="1">
      <alignment horizontal="right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left" vertical="center" wrapText="1"/>
    </xf>
    <xf numFmtId="4" fontId="1" fillId="3" borderId="14" xfId="0" applyNumberFormat="1" applyFont="1" applyFill="1" applyBorder="1" applyAlignment="1">
      <alignment horizontal="left" vertical="center" wrapText="1"/>
    </xf>
    <xf numFmtId="4" fontId="18" fillId="3" borderId="14" xfId="0" applyNumberFormat="1" applyFont="1" applyFill="1" applyBorder="1" applyAlignment="1">
      <alignment horizontal="right" vertical="center" wrapText="1"/>
    </xf>
    <xf numFmtId="4" fontId="17" fillId="3" borderId="1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4" fontId="17" fillId="0" borderId="0" xfId="0" applyNumberFormat="1" applyFont="1" applyAlignment="1">
      <alignment vertical="center"/>
    </xf>
    <xf numFmtId="2" fontId="17" fillId="0" borderId="0" xfId="0" applyNumberFormat="1" applyFont="1" applyAlignment="1">
      <alignment vertical="center"/>
    </xf>
    <xf numFmtId="2" fontId="17" fillId="0" borderId="0" xfId="0" applyNumberFormat="1" applyFont="1" applyFill="1" applyAlignment="1">
      <alignment vertical="center"/>
    </xf>
    <xf numFmtId="0" fontId="40" fillId="2" borderId="6" xfId="0" applyFont="1" applyFill="1" applyBorder="1" applyAlignment="1">
      <alignment horizontal="left" vertical="center" wrapText="1"/>
    </xf>
    <xf numFmtId="4" fontId="32" fillId="0" borderId="0" xfId="0" applyNumberFormat="1" applyFont="1" applyFill="1" applyAlignment="1">
      <alignment vertical="center"/>
    </xf>
    <xf numFmtId="4" fontId="38" fillId="2" borderId="14" xfId="0" applyNumberFormat="1" applyFont="1" applyFill="1" applyBorder="1" applyAlignment="1">
      <alignment vertical="center" wrapText="1"/>
    </xf>
    <xf numFmtId="4" fontId="38" fillId="2" borderId="14" xfId="0" applyNumberFormat="1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 wrapText="1"/>
    </xf>
    <xf numFmtId="4" fontId="34" fillId="3" borderId="14" xfId="0" applyNumberFormat="1" applyFont="1" applyFill="1" applyBorder="1" applyAlignment="1">
      <alignment vertical="center"/>
    </xf>
    <xf numFmtId="4" fontId="34" fillId="0" borderId="14" xfId="0" applyNumberFormat="1" applyFont="1" applyFill="1" applyBorder="1" applyAlignment="1">
      <alignment vertical="center"/>
    </xf>
    <xf numFmtId="3" fontId="1" fillId="3" borderId="14" xfId="0" applyNumberFormat="1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right" vertical="center"/>
    </xf>
    <xf numFmtId="4" fontId="30" fillId="0" borderId="14" xfId="0" applyNumberFormat="1" applyFont="1" applyBorder="1" applyAlignment="1">
      <alignment horizontal="center" vertical="center"/>
    </xf>
    <xf numFmtId="0" fontId="47" fillId="2" borderId="14" xfId="0" applyFont="1" applyFill="1" applyBorder="1" applyAlignment="1">
      <alignment vertical="center" wrapText="1"/>
    </xf>
    <xf numFmtId="0" fontId="47" fillId="2" borderId="14" xfId="0" applyFont="1" applyFill="1" applyBorder="1" applyAlignment="1">
      <alignment horizontal="right" vertical="center"/>
    </xf>
    <xf numFmtId="2" fontId="37" fillId="2" borderId="0" xfId="0" applyNumberFormat="1" applyFont="1" applyFill="1"/>
    <xf numFmtId="0" fontId="1" fillId="0" borderId="12" xfId="0" applyFont="1" applyFill="1" applyBorder="1" applyAlignment="1">
      <alignment horizontal="right" vertical="center"/>
    </xf>
    <xf numFmtId="0" fontId="39" fillId="5" borderId="8" xfId="0" applyFont="1" applyFill="1" applyBorder="1" applyAlignment="1">
      <alignment horizontal="center" vertical="center"/>
    </xf>
    <xf numFmtId="0" fontId="38" fillId="5" borderId="8" xfId="0" applyFont="1" applyFill="1" applyBorder="1" applyAlignment="1">
      <alignment horizontal="center" vertical="center"/>
    </xf>
    <xf numFmtId="0" fontId="38" fillId="5" borderId="11" xfId="0" applyFont="1" applyFill="1" applyBorder="1" applyAlignment="1">
      <alignment vertical="center"/>
    </xf>
    <xf numFmtId="4" fontId="32" fillId="5" borderId="9" xfId="0" applyNumberFormat="1" applyFont="1" applyFill="1" applyBorder="1" applyAlignment="1">
      <alignment horizontal="right" vertical="center"/>
    </xf>
    <xf numFmtId="4" fontId="38" fillId="5" borderId="10" xfId="0" applyNumberFormat="1" applyFont="1" applyFill="1" applyBorder="1" applyAlignment="1">
      <alignment horizontal="right" vertical="center"/>
    </xf>
    <xf numFmtId="0" fontId="38" fillId="5" borderId="11" xfId="0" applyFont="1" applyFill="1" applyBorder="1" applyAlignment="1">
      <alignment vertical="center" wrapText="1"/>
    </xf>
    <xf numFmtId="165" fontId="38" fillId="5" borderId="9" xfId="0" applyNumberFormat="1" applyFont="1" applyFill="1" applyBorder="1" applyAlignment="1">
      <alignment horizontal="right" vertical="center"/>
    </xf>
    <xf numFmtId="4" fontId="38" fillId="5" borderId="9" xfId="0" applyNumberFormat="1" applyFont="1" applyFill="1" applyBorder="1" applyAlignment="1">
      <alignment horizontal="right" vertical="center"/>
    </xf>
    <xf numFmtId="4" fontId="38" fillId="5" borderId="24" xfId="0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vertical="center"/>
    </xf>
    <xf numFmtId="0" fontId="43" fillId="0" borderId="14" xfId="0" applyFont="1" applyBorder="1" applyAlignment="1">
      <alignment vertical="center"/>
    </xf>
    <xf numFmtId="0" fontId="48" fillId="0" borderId="14" xfId="0" applyFont="1" applyBorder="1" applyAlignment="1">
      <alignment vertical="center"/>
    </xf>
    <xf numFmtId="4" fontId="43" fillId="0" borderId="14" xfId="0" applyNumberFormat="1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8" fillId="0" borderId="14" xfId="1" applyFont="1" applyFill="1" applyBorder="1" applyAlignment="1">
      <alignment horizontal="center" vertical="center" wrapText="1"/>
    </xf>
    <xf numFmtId="166" fontId="37" fillId="2" borderId="0" xfId="0" applyNumberFormat="1" applyFont="1" applyFill="1"/>
    <xf numFmtId="0" fontId="38" fillId="2" borderId="5" xfId="0" applyFont="1" applyFill="1" applyBorder="1" applyAlignment="1">
      <alignment horizontal="left" vertical="center"/>
    </xf>
    <xf numFmtId="167" fontId="24" fillId="0" borderId="0" xfId="0" applyNumberFormat="1" applyFont="1" applyFill="1" applyAlignment="1">
      <alignment horizontal="right"/>
    </xf>
    <xf numFmtId="0" fontId="24" fillId="0" borderId="14" xfId="0" applyFont="1" applyBorder="1" applyAlignment="1">
      <alignment vertical="center" wrapText="1"/>
    </xf>
    <xf numFmtId="168" fontId="2" fillId="0" borderId="0" xfId="0" applyNumberFormat="1" applyFont="1" applyAlignment="1">
      <alignment horizontal="center" vertical="center"/>
    </xf>
    <xf numFmtId="4" fontId="37" fillId="0" borderId="0" xfId="0" applyNumberFormat="1" applyFont="1"/>
    <xf numFmtId="2" fontId="38" fillId="5" borderId="17" xfId="0" applyNumberFormat="1" applyFont="1" applyFill="1" applyBorder="1" applyAlignment="1">
      <alignment horizontal="left" vertical="center" wrapText="1"/>
    </xf>
    <xf numFmtId="0" fontId="46" fillId="5" borderId="9" xfId="0" applyFont="1" applyFill="1" applyBorder="1" applyAlignment="1">
      <alignment horizontal="left" vertical="center" wrapText="1"/>
    </xf>
    <xf numFmtId="2" fontId="38" fillId="5" borderId="25" xfId="0" applyNumberFormat="1" applyFont="1" applyFill="1" applyBorder="1" applyAlignment="1">
      <alignment horizontal="left" vertical="center" wrapText="1"/>
    </xf>
    <xf numFmtId="0" fontId="46" fillId="5" borderId="26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/>
    </xf>
    <xf numFmtId="0" fontId="38" fillId="2" borderId="14" xfId="0" applyFont="1" applyFill="1" applyBorder="1" applyAlignment="1">
      <alignment horizontal="left" vertical="center"/>
    </xf>
    <xf numFmtId="0" fontId="47" fillId="2" borderId="14" xfId="0" applyFont="1" applyFill="1" applyBorder="1" applyAlignment="1">
      <alignment horizontal="left" vertical="center"/>
    </xf>
    <xf numFmtId="2" fontId="38" fillId="5" borderId="9" xfId="0" applyNumberFormat="1" applyFont="1" applyFill="1" applyBorder="1" applyAlignment="1">
      <alignment horizontal="left" vertical="center" wrapText="1"/>
    </xf>
    <xf numFmtId="4" fontId="38" fillId="2" borderId="14" xfId="0" applyNumberFormat="1" applyFont="1" applyFill="1" applyBorder="1" applyAlignment="1">
      <alignment horizontal="left" vertical="center" wrapText="1"/>
    </xf>
    <xf numFmtId="2" fontId="38" fillId="5" borderId="23" xfId="0" applyNumberFormat="1" applyFont="1" applyFill="1" applyBorder="1" applyAlignment="1">
      <alignment horizontal="left" vertical="center" wrapText="1"/>
    </xf>
    <xf numFmtId="2" fontId="38" fillId="5" borderId="24" xfId="0" applyNumberFormat="1" applyFont="1" applyFill="1" applyBorder="1" applyAlignment="1">
      <alignment horizontal="left" vertical="center" wrapText="1"/>
    </xf>
    <xf numFmtId="4" fontId="38" fillId="2" borderId="19" xfId="0" applyNumberFormat="1" applyFont="1" applyFill="1" applyBorder="1" applyAlignment="1">
      <alignment horizontal="left" vertical="center" wrapText="1"/>
    </xf>
    <xf numFmtId="4" fontId="38" fillId="2" borderId="21" xfId="0" applyNumberFormat="1" applyFont="1" applyFill="1" applyBorder="1" applyAlignment="1">
      <alignment horizontal="left" vertical="center" wrapText="1"/>
    </xf>
    <xf numFmtId="0" fontId="38" fillId="2" borderId="2" xfId="0" applyFont="1" applyFill="1" applyBorder="1" applyAlignment="1">
      <alignment horizontal="left" vertical="center"/>
    </xf>
    <xf numFmtId="0" fontId="38" fillId="2" borderId="3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5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left" vertical="center"/>
    </xf>
    <xf numFmtId="0" fontId="38" fillId="2" borderId="4" xfId="0" applyFont="1" applyFill="1" applyBorder="1" applyAlignment="1">
      <alignment horizontal="left" vertical="center" wrapText="1"/>
    </xf>
    <xf numFmtId="0" fontId="38" fillId="2" borderId="5" xfId="0" applyFont="1" applyFill="1" applyBorder="1" applyAlignment="1">
      <alignment horizontal="center" vertical="center"/>
    </xf>
    <xf numFmtId="0" fontId="38" fillId="2" borderId="6" xfId="0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2" fontId="40" fillId="2" borderId="5" xfId="0" applyNumberFormat="1" applyFont="1" applyFill="1" applyBorder="1" applyAlignment="1">
      <alignment horizontal="center" vertical="center" wrapText="1"/>
    </xf>
    <xf numFmtId="2" fontId="40" fillId="2" borderId="6" xfId="0" applyNumberFormat="1" applyFont="1" applyFill="1" applyBorder="1" applyAlignment="1">
      <alignment horizontal="center" vertical="center"/>
    </xf>
    <xf numFmtId="0" fontId="39" fillId="5" borderId="7" xfId="0" applyFont="1" applyFill="1" applyBorder="1" applyAlignment="1">
      <alignment horizontal="center" vertical="center"/>
    </xf>
    <xf numFmtId="0" fontId="39" fillId="5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7" fillId="0" borderId="0" xfId="1" applyFont="1" applyFill="1" applyAlignment="1">
      <alignment horizontal="left" wrapText="1"/>
    </xf>
    <xf numFmtId="0" fontId="28" fillId="0" borderId="14" xfId="1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left"/>
    </xf>
    <xf numFmtId="0" fontId="36" fillId="0" borderId="12" xfId="0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3" xfId="4"/>
    <cellStyle name="Обычный_S2-ETAL" xfId="2"/>
    <cellStyle name="Обычный_Объек-1" xfId="1"/>
  </cellStyles>
  <dxfs count="0"/>
  <tableStyles count="0" defaultTableStyle="TableStyleMedium2" defaultPivotStyle="PivotStyleLight16"/>
  <colors>
    <mruColors>
      <color rgb="FF0000FF"/>
      <color rgb="FFEAD5FF"/>
      <color rgb="FFFF00FF"/>
      <color rgb="FF9900FF"/>
      <color rgb="FF5E0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2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99155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32131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3" name="Рисунок 3" descr="C:\Users\iakimenko\Desktop\B2-F201319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13154025"/>
          <a:ext cx="600075" cy="598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607061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4;&#1077;&#1090;&#1085;&#1099;&#1081;%20&#1086;&#1090;&#1076;&#1077;&#1083;/&#1054;&#1041;&#1066;&#1045;&#1050;&#1058;&#1067;_2023/&#1055;&#1088;&#1086;&#1095;&#1080;&#1077;/&#1058;&#1077;&#1087;&#1083;&#1086;&#1089;&#1077;&#1090;&#1100;.(&#1048;&#1089;&#1072;&#1077;&#1074;)/&#1044;&#1077;&#1083;&#1077;&#1085;&#1080;&#1077;_&#1082;&#1086;&#1088;&#1088;&#1077;&#1082;&#1090;&#1080;&#1088;/&#1054;&#1073;&#1098;&#1077;&#1082;&#1090;%207%20(&#1055;&#1091;&#1096;&#1082;&#1080;&#1085;&#1072;)+/&#1056;&#1072;&#1079;&#1076;&#1077;&#1083;%20&#1055;&#1044;&#8470;9%20&#1063;&#1072;&#1089;&#1090;&#1100;%20&#8470;1_&#1057;&#1052;1/05_&#1057;&#1057;&#1056;&#1057;&#1056;,%20&#1054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4;&#1077;&#1090;&#1085;&#1099;&#1081;%20&#1086;&#1090;&#1076;&#1077;&#1083;/&#1054;&#1041;&#1066;&#1045;&#1050;&#1058;&#1067;_2023/&#1055;&#1088;&#1086;&#1095;&#1080;&#1077;/&#1058;&#1077;&#1087;&#1083;&#1086;&#1089;&#1077;&#1090;&#1100;.(&#1048;&#1089;&#1072;&#1077;&#1074;)/&#1044;&#1077;&#1083;&#1077;&#1085;&#1080;&#1077;_&#1082;&#1086;&#1088;&#1088;&#1077;&#1082;&#1090;&#1080;&#1088;/&#1054;&#1073;&#1098;&#1077;&#1082;&#1090;%204%20(&#1050;&#1091;&#1079;&#1085;&#1077;&#1095;&#1085;%20&#1058;&#1050;-28-&#1058;&#1050;-89)+/&#1056;&#1072;&#1079;&#1076;&#1077;&#1083;%20&#1055;&#1044;&#8470;9%20&#1063;&#1072;&#1089;&#1090;&#1100;%20&#8470;1_&#1057;&#1052;1/05_&#1057;&#1057;&#1056;&#1057;&#1056;,&#1054;&#1057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СРтек"/>
      <sheetName val="ОС-01-01тек"/>
      <sheetName val="ОС-06-01тек"/>
      <sheetName val="ССРбаз"/>
      <sheetName val="ОС-01-01"/>
      <sheetName val="ОС-06-01"/>
      <sheetName val="в ПЗ"/>
    </sheetNames>
    <sheetDataSet>
      <sheetData sheetId="0">
        <row r="8">
          <cell r="A8" t="str">
            <v>Составил</v>
          </cell>
          <cell r="B8" t="str">
            <v>А.В.Исаев</v>
          </cell>
        </row>
        <row r="9">
          <cell r="A9" t="str">
            <v>Проверил</v>
          </cell>
          <cell r="B9" t="str">
            <v>Н.В.Петров</v>
          </cell>
        </row>
        <row r="24">
          <cell r="A24" t="str">
            <v>Методика утв. Приказом Минстрой РФ от 19.06.20г. №332/пр, Приложение 1, п.53</v>
          </cell>
        </row>
        <row r="36">
          <cell r="A36" t="str">
            <v>Методика утв. Приказом Минстрой РФ от 04.08.2020г. №421/пр п.179</v>
          </cell>
          <cell r="B36" t="str">
            <v>Непредвиденные работы и затраты</v>
          </cell>
          <cell r="E36">
            <v>0.03</v>
          </cell>
        </row>
      </sheetData>
      <sheetData sheetId="1" refreshError="1"/>
      <sheetData sheetId="2">
        <row r="10">
          <cell r="I10" t="str">
            <v>км</v>
          </cell>
        </row>
        <row r="22">
          <cell r="A22">
            <v>1.9199999999999998E-2</v>
          </cell>
          <cell r="D22" t="str">
    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</v>
          </cell>
        </row>
        <row r="29">
          <cell r="G29" t="str">
            <v>Н.В.Петров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ОС-06-01тек"/>
      <sheetName val="ССРтек"/>
      <sheetName val="ОС-01-01 тек"/>
      <sheetName val="ССРбаз"/>
      <sheetName val="ОС-01-01"/>
      <sheetName val="ОС-06-01"/>
      <sheetName val="в П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8">
          <cell r="C18" t="str">
            <v>ЛС-01-01-01</v>
          </cell>
          <cell r="D18" t="str">
            <v>Разборка существующего покрытия и тротуара</v>
          </cell>
        </row>
        <row r="19">
          <cell r="C19" t="str">
            <v>ЛС-01-01-02</v>
          </cell>
          <cell r="D19" t="str">
            <v>Устройство защиты кабелей сети связи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.vsd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1.vsd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8"/>
  <sheetViews>
    <sheetView view="pageBreakPreview" topLeftCell="A19" zoomScaleNormal="100" zoomScaleSheetLayoutView="100" workbookViewId="0">
      <selection activeCell="J30" sqref="J30"/>
    </sheetView>
  </sheetViews>
  <sheetFormatPr defaultRowHeight="14.25"/>
  <cols>
    <col min="1" max="1" width="30.42578125" style="132" customWidth="1"/>
    <col min="2" max="2" width="19.28515625" style="132" customWidth="1"/>
    <col min="3" max="3" width="32.5703125" style="132" customWidth="1"/>
    <col min="4" max="4" width="9.28515625" style="132" bestFit="1" customWidth="1"/>
    <col min="5" max="5" width="10.85546875" style="132" customWidth="1"/>
    <col min="6" max="6" width="11.140625" style="132" customWidth="1"/>
    <col min="7" max="7" width="6.42578125" style="132" bestFit="1" customWidth="1"/>
    <col min="8" max="8" width="6.7109375" style="132" customWidth="1"/>
    <col min="9" max="9" width="14.140625" style="132" customWidth="1"/>
    <col min="10" max="10" width="9.140625" style="132"/>
    <col min="11" max="11" width="9.42578125" style="132" bestFit="1" customWidth="1"/>
    <col min="12" max="16384" width="9.140625" style="132"/>
  </cols>
  <sheetData>
    <row r="1" spans="1:8" s="137" customFormat="1" ht="20.100000000000001" customHeight="1">
      <c r="A1" s="135" t="s">
        <v>112</v>
      </c>
      <c r="B1" s="259" t="s">
        <v>137</v>
      </c>
      <c r="C1" s="260"/>
      <c r="D1" s="260"/>
      <c r="E1" s="261"/>
      <c r="F1" s="136"/>
      <c r="G1" s="136"/>
      <c r="H1" s="136"/>
    </row>
    <row r="2" spans="1:8" s="137" customFormat="1" ht="28.5" customHeight="1">
      <c r="A2" s="264" t="s">
        <v>113</v>
      </c>
      <c r="B2" s="262" t="s">
        <v>160</v>
      </c>
      <c r="C2" s="263"/>
      <c r="D2" s="260"/>
      <c r="E2" s="261"/>
      <c r="F2" s="262"/>
      <c r="G2" s="260"/>
      <c r="H2" s="261"/>
    </row>
    <row r="3" spans="1:8" s="137" customFormat="1" ht="29.25" customHeight="1">
      <c r="A3" s="265"/>
      <c r="B3" s="262" t="s">
        <v>114</v>
      </c>
      <c r="C3" s="263"/>
      <c r="D3" s="263"/>
      <c r="E3" s="266"/>
      <c r="F3" s="138"/>
      <c r="G3" s="139"/>
      <c r="H3" s="139"/>
    </row>
    <row r="4" spans="1:8" s="137" customFormat="1" ht="17.25" customHeight="1">
      <c r="A4" s="177"/>
      <c r="B4" s="175" t="s">
        <v>115</v>
      </c>
      <c r="C4" s="176"/>
      <c r="D4" s="176"/>
      <c r="E4" s="178"/>
      <c r="F4" s="138"/>
      <c r="G4" s="139"/>
      <c r="H4" s="139"/>
    </row>
    <row r="5" spans="1:8" s="137" customFormat="1" ht="20.100000000000001" customHeight="1">
      <c r="A5" s="135" t="s">
        <v>116</v>
      </c>
      <c r="B5" s="259" t="s">
        <v>117</v>
      </c>
      <c r="C5" s="260"/>
      <c r="D5" s="260"/>
      <c r="E5" s="261"/>
      <c r="F5" s="136"/>
      <c r="G5" s="136"/>
      <c r="H5" s="136"/>
    </row>
    <row r="6" spans="1:8" s="137" customFormat="1" ht="20.100000000000001" customHeight="1">
      <c r="A6" s="135" t="s">
        <v>103</v>
      </c>
      <c r="B6" s="259" t="s">
        <v>118</v>
      </c>
      <c r="C6" s="260"/>
      <c r="D6" s="260"/>
      <c r="E6" s="261"/>
      <c r="F6" s="136"/>
      <c r="G6" s="136"/>
      <c r="H6" s="136"/>
    </row>
    <row r="7" spans="1:8" s="137" customFormat="1" ht="20.100000000000001" customHeight="1">
      <c r="A7" s="135" t="s">
        <v>30</v>
      </c>
      <c r="B7" s="259" t="s">
        <v>128</v>
      </c>
      <c r="C7" s="260"/>
      <c r="D7" s="260"/>
      <c r="E7" s="261"/>
      <c r="F7" s="136"/>
      <c r="G7" s="136"/>
      <c r="H7" s="136"/>
    </row>
    <row r="8" spans="1:8" s="137" customFormat="1" ht="20.100000000000001" customHeight="1">
      <c r="A8" s="135" t="s">
        <v>31</v>
      </c>
      <c r="B8" s="259" t="s">
        <v>129</v>
      </c>
      <c r="C8" s="260"/>
      <c r="D8" s="260"/>
      <c r="E8" s="261"/>
      <c r="F8" s="136"/>
      <c r="G8" s="136"/>
      <c r="H8" s="136"/>
    </row>
    <row r="9" spans="1:8" s="137" customFormat="1" ht="20.100000000000001" customHeight="1">
      <c r="A9" s="135" t="s">
        <v>32</v>
      </c>
      <c r="B9" s="259" t="s">
        <v>128</v>
      </c>
      <c r="C9" s="260"/>
      <c r="D9" s="260"/>
      <c r="E9" s="261"/>
      <c r="F9" s="136"/>
      <c r="G9" s="136"/>
      <c r="H9" s="136"/>
    </row>
    <row r="10" spans="1:8" s="137" customFormat="1" ht="37.5" customHeight="1">
      <c r="A10" s="140" t="s">
        <v>0</v>
      </c>
      <c r="B10" s="262" t="s">
        <v>161</v>
      </c>
      <c r="C10" s="263"/>
      <c r="D10" s="263"/>
      <c r="E10" s="266"/>
      <c r="F10" s="136"/>
      <c r="G10" s="136"/>
      <c r="H10" s="136"/>
    </row>
    <row r="11" spans="1:8" s="127" customFormat="1">
      <c r="A11" s="128"/>
      <c r="B11" s="141" t="s">
        <v>148</v>
      </c>
      <c r="C11" s="273"/>
      <c r="D11" s="273"/>
      <c r="E11" s="274"/>
      <c r="F11" s="126"/>
      <c r="G11" s="126"/>
      <c r="H11" s="126"/>
    </row>
    <row r="12" spans="1:8" s="127" customFormat="1" ht="25.5">
      <c r="A12" s="186" t="s">
        <v>119</v>
      </c>
      <c r="B12" s="142">
        <v>47.51</v>
      </c>
      <c r="C12" s="269" t="s">
        <v>149</v>
      </c>
      <c r="D12" s="267" t="s">
        <v>150</v>
      </c>
      <c r="E12" s="125"/>
      <c r="F12" s="126"/>
      <c r="G12" s="126"/>
      <c r="H12" s="126"/>
    </row>
    <row r="13" spans="1:8" s="127" customFormat="1" ht="25.5">
      <c r="A13" s="186" t="s">
        <v>120</v>
      </c>
      <c r="B13" s="142">
        <v>9.66</v>
      </c>
      <c r="C13" s="270"/>
      <c r="D13" s="272"/>
      <c r="E13" s="125"/>
      <c r="F13" s="126"/>
      <c r="G13" s="126"/>
      <c r="H13" s="126"/>
    </row>
    <row r="14" spans="1:8" s="127" customFormat="1" ht="38.25">
      <c r="A14" s="186" t="s">
        <v>121</v>
      </c>
      <c r="B14" s="142">
        <v>15.6</v>
      </c>
      <c r="C14" s="271"/>
      <c r="D14" s="268"/>
      <c r="E14" s="125"/>
      <c r="F14" s="126"/>
      <c r="G14" s="126"/>
      <c r="H14" s="126"/>
    </row>
    <row r="15" spans="1:8" s="127" customFormat="1" ht="36.75" customHeight="1">
      <c r="A15" s="179" t="s">
        <v>122</v>
      </c>
      <c r="B15" s="168">
        <v>14.17</v>
      </c>
      <c r="C15" s="275" t="s">
        <v>151</v>
      </c>
      <c r="D15" s="180" t="s">
        <v>108</v>
      </c>
      <c r="E15" s="125"/>
      <c r="F15" s="126"/>
      <c r="G15" s="126"/>
      <c r="H15" s="126"/>
    </row>
    <row r="16" spans="1:8" s="127" customFormat="1" ht="38.25">
      <c r="A16" s="210" t="s">
        <v>124</v>
      </c>
      <c r="B16" s="167">
        <v>5.34</v>
      </c>
      <c r="C16" s="276"/>
      <c r="D16" s="180" t="s">
        <v>123</v>
      </c>
      <c r="E16" s="125"/>
      <c r="F16" s="126"/>
      <c r="G16" s="126"/>
      <c r="H16" s="126"/>
    </row>
    <row r="17" spans="1:11" s="127" customFormat="1" ht="14.25" customHeight="1">
      <c r="A17" s="142" t="s">
        <v>1</v>
      </c>
      <c r="B17" s="142">
        <v>5.36</v>
      </c>
      <c r="C17" s="269" t="s">
        <v>152</v>
      </c>
      <c r="D17" s="267" t="s">
        <v>125</v>
      </c>
      <c r="E17" s="135">
        <v>1.266</v>
      </c>
      <c r="F17" s="126"/>
      <c r="G17" s="126"/>
      <c r="H17" s="126"/>
    </row>
    <row r="18" spans="1:11" s="127" customFormat="1">
      <c r="A18" s="142" t="s">
        <v>2</v>
      </c>
      <c r="B18" s="142">
        <v>5.32</v>
      </c>
      <c r="C18" s="268"/>
      <c r="D18" s="268"/>
      <c r="E18" s="135">
        <v>1.19</v>
      </c>
      <c r="F18" s="126"/>
      <c r="G18" s="126"/>
      <c r="H18" s="126"/>
    </row>
    <row r="19" spans="1:11" s="127" customFormat="1">
      <c r="A19" s="128" t="s">
        <v>59</v>
      </c>
      <c r="B19" s="129"/>
      <c r="C19" s="129"/>
      <c r="D19" s="130"/>
      <c r="E19" s="130"/>
      <c r="F19" s="126"/>
      <c r="G19" s="126"/>
      <c r="H19" s="126"/>
    </row>
    <row r="20" spans="1:11" s="127" customFormat="1">
      <c r="A20" s="140" t="s">
        <v>3</v>
      </c>
      <c r="B20" s="241">
        <v>6.92</v>
      </c>
      <c r="C20" s="129"/>
      <c r="D20" s="130"/>
      <c r="E20" s="130"/>
      <c r="F20" s="126" t="s">
        <v>134</v>
      </c>
      <c r="G20" s="126"/>
      <c r="H20" s="126"/>
      <c r="I20" s="222">
        <v>1338.07</v>
      </c>
      <c r="J20" s="127" t="s">
        <v>135</v>
      </c>
      <c r="K20" s="127">
        <f>I20/1000</f>
        <v>1.3380700000000001</v>
      </c>
    </row>
    <row r="21" spans="1:11">
      <c r="A21" s="277" t="s">
        <v>4</v>
      </c>
      <c r="B21" s="278"/>
      <c r="C21" s="224"/>
      <c r="D21" s="225" t="s">
        <v>5</v>
      </c>
      <c r="E21" s="225" t="s">
        <v>6</v>
      </c>
      <c r="F21" s="131"/>
      <c r="G21" s="131"/>
      <c r="H21" s="131"/>
      <c r="I21" s="132">
        <v>325.24</v>
      </c>
      <c r="J21" s="132" t="s">
        <v>135</v>
      </c>
      <c r="K21" s="240">
        <f t="shared" ref="K21:K22" si="0">I21/1000</f>
        <v>0.32500000000000001</v>
      </c>
    </row>
    <row r="22" spans="1:11" ht="30" hidden="1" customHeight="1">
      <c r="A22" s="226" t="s">
        <v>104</v>
      </c>
      <c r="B22" s="246" t="s">
        <v>107</v>
      </c>
      <c r="C22" s="253"/>
      <c r="D22" s="227"/>
      <c r="E22" s="228">
        <v>0</v>
      </c>
      <c r="F22" s="159"/>
      <c r="G22" s="147"/>
      <c r="H22" s="133"/>
      <c r="I22" s="134"/>
      <c r="K22" s="127">
        <f t="shared" si="0"/>
        <v>0</v>
      </c>
    </row>
    <row r="23" spans="1:11" s="144" customFormat="1" ht="60" customHeight="1">
      <c r="A23" s="229" t="s">
        <v>126</v>
      </c>
      <c r="B23" s="246" t="s">
        <v>136</v>
      </c>
      <c r="C23" s="253"/>
      <c r="D23" s="230">
        <v>2.4</v>
      </c>
      <c r="E23" s="228" t="s">
        <v>7</v>
      </c>
      <c r="F23" s="145">
        <v>0.8</v>
      </c>
      <c r="G23" s="146">
        <f>D23*F23</f>
        <v>1.92</v>
      </c>
      <c r="H23" s="143"/>
    </row>
    <row r="24" spans="1:11" s="144" customFormat="1" ht="20.100000000000001" customHeight="1">
      <c r="A24" s="226" t="s">
        <v>82</v>
      </c>
      <c r="B24" s="246" t="s">
        <v>81</v>
      </c>
      <c r="C24" s="253"/>
      <c r="D24" s="231"/>
      <c r="E24" s="231">
        <v>4435.09</v>
      </c>
      <c r="F24" s="149"/>
      <c r="G24" s="149"/>
      <c r="H24" s="149"/>
    </row>
    <row r="25" spans="1:11" s="144" customFormat="1" ht="39" customHeight="1">
      <c r="A25" s="226" t="s">
        <v>138</v>
      </c>
      <c r="B25" s="246" t="s">
        <v>130</v>
      </c>
      <c r="C25" s="247"/>
      <c r="D25" s="231"/>
      <c r="E25" s="231">
        <f>264.35/1000</f>
        <v>0.26</v>
      </c>
      <c r="F25" s="149"/>
      <c r="G25" s="149"/>
      <c r="H25" s="149"/>
    </row>
    <row r="26" spans="1:11" s="144" customFormat="1" ht="32.25" customHeight="1">
      <c r="A26" s="226" t="s">
        <v>138</v>
      </c>
      <c r="B26" s="246" t="s">
        <v>131</v>
      </c>
      <c r="C26" s="253"/>
      <c r="D26" s="231"/>
      <c r="E26" s="231">
        <f>761232.34/1000</f>
        <v>761.23</v>
      </c>
      <c r="F26" s="149"/>
      <c r="G26" s="149"/>
      <c r="H26" s="149"/>
    </row>
    <row r="27" spans="1:11" ht="47.25" hidden="1" customHeight="1">
      <c r="A27" s="226" t="s">
        <v>138</v>
      </c>
      <c r="B27" s="255" t="s">
        <v>97</v>
      </c>
      <c r="C27" s="256"/>
      <c r="D27" s="232"/>
      <c r="E27" s="231">
        <v>0</v>
      </c>
      <c r="F27" s="131"/>
      <c r="G27" s="131"/>
      <c r="H27" s="131"/>
    </row>
    <row r="28" spans="1:11" s="144" customFormat="1" ht="23.25" customHeight="1">
      <c r="A28" s="226" t="s">
        <v>138</v>
      </c>
      <c r="B28" s="248" t="s">
        <v>132</v>
      </c>
      <c r="C28" s="249"/>
      <c r="D28" s="231"/>
      <c r="E28" s="231">
        <f>10534.33/1000</f>
        <v>10.53</v>
      </c>
      <c r="F28" s="149"/>
      <c r="G28" s="149"/>
      <c r="H28" s="149"/>
    </row>
    <row r="29" spans="1:11" s="144" customFormat="1" ht="30" customHeight="1">
      <c r="A29" s="220" t="s">
        <v>110</v>
      </c>
      <c r="B29" s="252" t="s">
        <v>55</v>
      </c>
      <c r="C29" s="252"/>
      <c r="D29" s="221">
        <v>2.14</v>
      </c>
      <c r="E29" s="221" t="s">
        <v>7</v>
      </c>
      <c r="F29" s="149"/>
      <c r="G29" s="149"/>
      <c r="H29" s="149"/>
    </row>
    <row r="30" spans="1:11" s="144" customFormat="1" ht="38.25">
      <c r="A30" s="148" t="s">
        <v>72</v>
      </c>
      <c r="B30" s="251" t="s">
        <v>73</v>
      </c>
      <c r="C30" s="251"/>
      <c r="D30" s="218">
        <v>0.2</v>
      </c>
      <c r="E30" s="218" t="s">
        <v>7</v>
      </c>
      <c r="F30" s="149"/>
      <c r="G30" s="149"/>
      <c r="H30" s="149"/>
    </row>
    <row r="31" spans="1:11" ht="48.75" customHeight="1">
      <c r="A31" s="212" t="s">
        <v>153</v>
      </c>
      <c r="B31" s="254" t="s">
        <v>111</v>
      </c>
      <c r="C31" s="254"/>
      <c r="D31" s="213">
        <f>(53889.74+71299.67+41555.56+58542.46)/1000</f>
        <v>225.29</v>
      </c>
      <c r="E31" s="213">
        <f>(288849.01+382166.21+222737.81+313787.56)/1000</f>
        <v>1207.54</v>
      </c>
      <c r="F31" s="131" t="s">
        <v>159</v>
      </c>
      <c r="G31" s="131"/>
      <c r="H31" s="131">
        <f>E31/B17</f>
        <v>225.28731343283599</v>
      </c>
    </row>
    <row r="32" spans="1:11" ht="52.5" customHeight="1">
      <c r="A32" s="212" t="s">
        <v>154</v>
      </c>
      <c r="B32" s="257" t="s">
        <v>98</v>
      </c>
      <c r="C32" s="258"/>
      <c r="D32" s="213">
        <f>89627.07/1000</f>
        <v>89.63</v>
      </c>
      <c r="E32" s="213">
        <f>476816/1000</f>
        <v>476.82</v>
      </c>
      <c r="F32" s="131"/>
      <c r="G32" s="131"/>
      <c r="H32" s="131">
        <f>E32/B18</f>
        <v>89.627819548872196</v>
      </c>
    </row>
    <row r="33" spans="1:9" ht="54" customHeight="1">
      <c r="A33" s="212" t="s">
        <v>155</v>
      </c>
      <c r="B33" s="257" t="s">
        <v>100</v>
      </c>
      <c r="C33" s="258"/>
      <c r="D33" s="213">
        <f>133437.69/1000</f>
        <v>133.44</v>
      </c>
      <c r="E33" s="213">
        <f>715226/1000</f>
        <v>715.23</v>
      </c>
      <c r="F33" s="211">
        <f>E31+E32+E33</f>
        <v>2399.59</v>
      </c>
      <c r="G33" s="131"/>
      <c r="H33" s="131"/>
      <c r="I33" s="245">
        <f>D31+D32+D33</f>
        <v>448.36</v>
      </c>
    </row>
    <row r="34" spans="1:9" ht="25.5">
      <c r="A34" s="212" t="s">
        <v>127</v>
      </c>
      <c r="B34" s="257" t="s">
        <v>99</v>
      </c>
      <c r="C34" s="258"/>
      <c r="D34" s="213"/>
      <c r="E34" s="213"/>
      <c r="F34" s="131">
        <v>134.47</v>
      </c>
      <c r="G34" s="131">
        <v>578.94000000000005</v>
      </c>
      <c r="H34" s="131"/>
      <c r="I34" s="245">
        <f>E31+E32+E33+E34</f>
        <v>2399.59</v>
      </c>
    </row>
    <row r="35" spans="1:9" s="144" customFormat="1" ht="38.25">
      <c r="A35" s="148" t="s">
        <v>74</v>
      </c>
      <c r="B35" s="251" t="s">
        <v>58</v>
      </c>
      <c r="C35" s="251"/>
      <c r="D35" s="151">
        <v>3</v>
      </c>
      <c r="E35" s="151">
        <v>1.4999999999999999E-2</v>
      </c>
      <c r="F35" s="136">
        <v>1.5</v>
      </c>
    </row>
    <row r="37" spans="1:9">
      <c r="A37" s="250" t="s">
        <v>49</v>
      </c>
      <c r="B37" s="250"/>
      <c r="C37" s="250"/>
      <c r="D37" s="157" t="s">
        <v>5</v>
      </c>
      <c r="E37" s="157" t="s">
        <v>75</v>
      </c>
    </row>
    <row r="38" spans="1:9" ht="15" customHeight="1">
      <c r="A38" s="250"/>
      <c r="B38" s="250"/>
      <c r="C38" s="250"/>
      <c r="D38" s="219">
        <v>37.36</v>
      </c>
      <c r="E38" s="158">
        <v>433.02</v>
      </c>
    </row>
  </sheetData>
  <mergeCells count="34">
    <mergeCell ref="B24:C24"/>
    <mergeCell ref="B23:C23"/>
    <mergeCell ref="C15:C16"/>
    <mergeCell ref="C17:C18"/>
    <mergeCell ref="B22:C22"/>
    <mergeCell ref="A21:B21"/>
    <mergeCell ref="D17:D18"/>
    <mergeCell ref="C12:C14"/>
    <mergeCell ref="D12:D14"/>
    <mergeCell ref="F2:H2"/>
    <mergeCell ref="B7:E7"/>
    <mergeCell ref="B10:E10"/>
    <mergeCell ref="C11:E11"/>
    <mergeCell ref="B6:E6"/>
    <mergeCell ref="B8:E8"/>
    <mergeCell ref="B9:E9"/>
    <mergeCell ref="B1:E1"/>
    <mergeCell ref="B2:E2"/>
    <mergeCell ref="A2:A3"/>
    <mergeCell ref="B3:E3"/>
    <mergeCell ref="B5:E5"/>
    <mergeCell ref="B25:C25"/>
    <mergeCell ref="B28:C28"/>
    <mergeCell ref="A38:C38"/>
    <mergeCell ref="B35:C35"/>
    <mergeCell ref="B29:C29"/>
    <mergeCell ref="B26:C26"/>
    <mergeCell ref="B30:C30"/>
    <mergeCell ref="B31:C31"/>
    <mergeCell ref="A37:C37"/>
    <mergeCell ref="B27:C27"/>
    <mergeCell ref="B32:C32"/>
    <mergeCell ref="B34:C34"/>
    <mergeCell ref="B33:C33"/>
  </mergeCells>
  <pageMargins left="0.7" right="0.7" top="0.75" bottom="0.75" header="0.3" footer="0.3"/>
  <pageSetup paperSize="9" scale="82" orientation="portrait" r:id="rId1"/>
  <colBreaks count="1" manualBreakCount="1">
    <brk id="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Zeros="0" view="pageBreakPreview" topLeftCell="A46" zoomScaleNormal="100" zoomScaleSheetLayoutView="100" workbookViewId="0">
      <selection activeCell="M48" sqref="M48"/>
    </sheetView>
  </sheetViews>
  <sheetFormatPr defaultRowHeight="15"/>
  <cols>
    <col min="1" max="1" width="6.85546875" style="28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11.28515625" style="32" bestFit="1" customWidth="1"/>
    <col min="11" max="16384" width="9.140625" style="32"/>
  </cols>
  <sheetData>
    <row r="1" spans="2:9">
      <c r="B1" s="2"/>
      <c r="C1" s="3"/>
      <c r="D1" s="4"/>
      <c r="E1" s="2"/>
      <c r="F1" s="2"/>
      <c r="G1" s="2"/>
      <c r="H1" s="2"/>
      <c r="I1" s="5" t="s">
        <v>8</v>
      </c>
    </row>
    <row r="2" spans="2:9" ht="19.5" customHeight="1">
      <c r="B2" s="2"/>
      <c r="C2" s="3" t="s">
        <v>9</v>
      </c>
      <c r="D2" s="291" t="str">
        <f>ИД!B2</f>
        <v>ООО "Сервер"</v>
      </c>
      <c r="E2" s="291"/>
      <c r="F2" s="291"/>
      <c r="G2" s="291"/>
      <c r="H2" s="291"/>
      <c r="I2" s="2"/>
    </row>
    <row r="3" spans="2:9">
      <c r="B3" s="2"/>
      <c r="C3" s="3"/>
      <c r="D3" s="292" t="s">
        <v>10</v>
      </c>
      <c r="E3" s="292"/>
      <c r="F3" s="292"/>
      <c r="G3" s="292"/>
      <c r="H3" s="292"/>
      <c r="I3" s="2"/>
    </row>
    <row r="4" spans="2:9">
      <c r="B4" s="2"/>
      <c r="C4" s="3" t="s">
        <v>156</v>
      </c>
      <c r="D4" s="6"/>
      <c r="E4" s="2"/>
      <c r="F4" s="7"/>
      <c r="G4" s="2"/>
      <c r="H4" s="2"/>
      <c r="I4" s="2"/>
    </row>
    <row r="5" spans="2:9">
      <c r="B5" s="2"/>
      <c r="C5" s="3"/>
      <c r="D5" s="4"/>
      <c r="E5" s="2"/>
      <c r="F5" s="7"/>
      <c r="G5" s="2"/>
      <c r="H5" s="2"/>
      <c r="I5" s="2"/>
    </row>
    <row r="6" spans="2:9">
      <c r="B6" s="2"/>
      <c r="C6" s="53" t="str">
        <f>" Сводный сметный расчет сметной стоимостью     "&amp;I56&amp;"     тыс.руб."</f>
        <v xml:space="preserve"> Сводный сметный расчет сметной стоимостью     46434,86     тыс.руб.</v>
      </c>
      <c r="D6" s="4"/>
      <c r="E6" s="2"/>
      <c r="F6" s="7"/>
      <c r="G6" s="2"/>
      <c r="H6" s="2"/>
      <c r="I6" s="2"/>
    </row>
    <row r="7" spans="2:9">
      <c r="B7" s="2"/>
      <c r="C7" s="8"/>
      <c r="D7" s="291"/>
      <c r="E7" s="291"/>
      <c r="F7" s="291"/>
      <c r="G7" s="291"/>
      <c r="H7" s="291"/>
      <c r="I7" s="2"/>
    </row>
    <row r="8" spans="2:9">
      <c r="B8" s="2"/>
      <c r="C8" s="3"/>
      <c r="D8" s="292" t="s">
        <v>11</v>
      </c>
      <c r="E8" s="292"/>
      <c r="F8" s="292"/>
      <c r="G8" s="292"/>
      <c r="H8" s="292"/>
      <c r="I8" s="2"/>
    </row>
    <row r="9" spans="2:9">
      <c r="B9" s="2"/>
      <c r="C9" s="3"/>
      <c r="D9" s="4"/>
      <c r="E9" s="9"/>
      <c r="F9" s="9"/>
      <c r="G9" s="9"/>
      <c r="H9" s="2"/>
      <c r="I9" s="2"/>
    </row>
    <row r="10" spans="2:9" ht="20.25" customHeight="1">
      <c r="B10" s="2"/>
      <c r="C10" s="3"/>
      <c r="D10" s="293" t="s">
        <v>101</v>
      </c>
      <c r="E10" s="293"/>
      <c r="F10" s="293"/>
      <c r="G10" s="293"/>
      <c r="H10" s="293"/>
      <c r="I10" s="2"/>
    </row>
    <row r="11" spans="2:9">
      <c r="B11" s="2"/>
      <c r="C11" s="3"/>
      <c r="D11" s="106"/>
      <c r="E11" s="106"/>
      <c r="F11" s="106"/>
      <c r="G11" s="106"/>
      <c r="H11" s="106"/>
      <c r="I11" s="2"/>
    </row>
    <row r="12" spans="2:9" ht="31.5" customHeight="1">
      <c r="B12" s="2"/>
      <c r="C12" s="3"/>
      <c r="D12" s="290" t="str">
        <f>CONCATENATE(ИД!B10,ИД!C11)</f>
        <v>09-01-23-3 «Реконструкция распределительных и квартальных тепловых сетей г. Благовещенска Амурской области» Объект 5 (Тепловые сети по ул. Кузнечная от ТК-30А (БТЭЦ) до ТК-28 L=279,8 м D=273мм)</v>
      </c>
      <c r="E12" s="290"/>
      <c r="F12" s="290"/>
      <c r="G12" s="290"/>
      <c r="H12" s="290"/>
      <c r="I12" s="2"/>
    </row>
    <row r="13" spans="2:9">
      <c r="B13" s="2"/>
      <c r="C13" s="3"/>
      <c r="D13" s="284" t="s">
        <v>12</v>
      </c>
      <c r="E13" s="284"/>
      <c r="F13" s="284"/>
      <c r="G13" s="284"/>
      <c r="H13" s="284"/>
      <c r="I13" s="2"/>
    </row>
    <row r="14" spans="2:9">
      <c r="B14" s="285" t="str">
        <f>CONCATENATE("Составлен в текущем уровне цен на ",ИД!B11)</f>
        <v>Составлен в текущем уровне цен на 1 квартал 2023 г.</v>
      </c>
      <c r="C14" s="285"/>
      <c r="D14" s="285"/>
      <c r="E14" s="285"/>
      <c r="F14" s="285"/>
      <c r="G14" s="285"/>
      <c r="H14" s="285"/>
      <c r="I14" s="285"/>
    </row>
    <row r="15" spans="2:9" ht="15" customHeight="1">
      <c r="B15" s="286" t="s">
        <v>13</v>
      </c>
      <c r="C15" s="287" t="s">
        <v>67</v>
      </c>
      <c r="D15" s="286" t="s">
        <v>77</v>
      </c>
      <c r="E15" s="288" t="s">
        <v>14</v>
      </c>
      <c r="F15" s="289"/>
      <c r="G15" s="289"/>
      <c r="H15" s="289"/>
      <c r="I15" s="289"/>
    </row>
    <row r="16" spans="2:9" ht="81.75" customHeight="1">
      <c r="B16" s="286"/>
      <c r="C16" s="287"/>
      <c r="D16" s="286"/>
      <c r="E16" s="95" t="s">
        <v>78</v>
      </c>
      <c r="F16" s="95" t="s">
        <v>15</v>
      </c>
      <c r="G16" s="95" t="s">
        <v>70</v>
      </c>
      <c r="H16" s="95" t="s">
        <v>79</v>
      </c>
      <c r="I16" s="95" t="s">
        <v>18</v>
      </c>
    </row>
    <row r="17" spans="1:14">
      <c r="B17" s="46">
        <v>1</v>
      </c>
      <c r="C17" s="10">
        <v>2</v>
      </c>
      <c r="D17" s="46">
        <v>3</v>
      </c>
      <c r="E17" s="46">
        <v>4</v>
      </c>
      <c r="F17" s="46">
        <v>5</v>
      </c>
      <c r="G17" s="46">
        <v>6</v>
      </c>
      <c r="H17" s="46">
        <v>7</v>
      </c>
      <c r="I17" s="46">
        <v>8</v>
      </c>
    </row>
    <row r="18" spans="1:14" s="22" customFormat="1" ht="20.100000000000001" customHeight="1">
      <c r="A18" s="28"/>
      <c r="B18" s="280" t="s">
        <v>29</v>
      </c>
      <c r="C18" s="281"/>
      <c r="D18" s="281"/>
      <c r="E18" s="281"/>
      <c r="F18" s="281"/>
      <c r="G18" s="281"/>
      <c r="H18" s="281"/>
      <c r="I18" s="281"/>
    </row>
    <row r="19" spans="1:14" s="22" customFormat="1" ht="27.75" customHeight="1">
      <c r="A19" s="28"/>
      <c r="B19" s="214">
        <v>1</v>
      </c>
      <c r="C19" s="23" t="str">
        <f>ССРбаз!C19</f>
        <v>ОС-01-01</v>
      </c>
      <c r="D19" s="24" t="str">
        <f>ССРбаз!D19</f>
        <v xml:space="preserve">Подготовительные работы </v>
      </c>
      <c r="E19" s="37">
        <f>'ОС-01-01 тек'!E20</f>
        <v>434.59</v>
      </c>
      <c r="F19" s="37"/>
      <c r="G19" s="37"/>
      <c r="H19" s="37"/>
      <c r="I19" s="36">
        <f t="shared" ref="I19" si="0">SUM(E19:H19)</f>
        <v>434.59</v>
      </c>
      <c r="L19" s="208"/>
    </row>
    <row r="20" spans="1:14" s="22" customFormat="1" ht="20.100000000000001" customHeight="1">
      <c r="A20" s="28"/>
      <c r="B20" s="19"/>
      <c r="C20" s="20"/>
      <c r="D20" s="21" t="s">
        <v>33</v>
      </c>
      <c r="E20" s="18">
        <f>SUM(E19:E19)</f>
        <v>434.59</v>
      </c>
      <c r="F20" s="18">
        <f>SUM(F19:F19)</f>
        <v>0</v>
      </c>
      <c r="G20" s="18">
        <f>SUM(G19:G19)</f>
        <v>0</v>
      </c>
      <c r="H20" s="18">
        <f>SUM(H19:H19)</f>
        <v>0</v>
      </c>
      <c r="I20" s="18">
        <f>SUM(I19:I19)</f>
        <v>434.59</v>
      </c>
      <c r="J20" s="41" t="b">
        <f>SUM(E20:H20)=SUM(I19:I19)</f>
        <v>1</v>
      </c>
    </row>
    <row r="21" spans="1:14" s="22" customFormat="1" ht="20.100000000000001" customHeight="1">
      <c r="A21" s="28"/>
      <c r="B21" s="280" t="s">
        <v>34</v>
      </c>
      <c r="C21" s="281"/>
      <c r="D21" s="281"/>
      <c r="E21" s="281"/>
      <c r="F21" s="281"/>
      <c r="G21" s="281"/>
      <c r="H21" s="281"/>
      <c r="I21" s="281"/>
    </row>
    <row r="22" spans="1:14" s="22" customFormat="1" ht="24" customHeight="1">
      <c r="A22" s="28"/>
      <c r="B22" s="214">
        <f>B19+1</f>
        <v>2</v>
      </c>
      <c r="C22" s="23" t="str">
        <f>ССРбаз!C22</f>
        <v>ЛС-02-01-01</v>
      </c>
      <c r="D22" s="24" t="str">
        <f>ССРбаз!D22</f>
        <v>Тепловые сети</v>
      </c>
      <c r="E22" s="37">
        <v>23881.88</v>
      </c>
      <c r="F22" s="37">
        <v>873.89</v>
      </c>
      <c r="G22" s="37"/>
      <c r="H22" s="37"/>
      <c r="I22" s="23">
        <f t="shared" ref="I22" si="1">SUM(E22:H22)</f>
        <v>24755.77</v>
      </c>
      <c r="L22" s="208"/>
    </row>
    <row r="23" spans="1:14" s="22" customFormat="1" ht="20.100000000000001" customHeight="1">
      <c r="A23" s="28"/>
      <c r="B23" s="19"/>
      <c r="C23" s="20"/>
      <c r="D23" s="21" t="s">
        <v>35</v>
      </c>
      <c r="E23" s="18">
        <f>SUM(E22:E22)</f>
        <v>23881.88</v>
      </c>
      <c r="F23" s="18">
        <f>SUM(F22:F22)</f>
        <v>873.89</v>
      </c>
      <c r="G23" s="18">
        <f>SUM(G22:G22)</f>
        <v>0</v>
      </c>
      <c r="H23" s="18">
        <f>SUM(H22:H22)</f>
        <v>0</v>
      </c>
      <c r="I23" s="18">
        <f>SUM(I22:I22)</f>
        <v>24755.77</v>
      </c>
      <c r="J23" s="41" t="b">
        <f>SUM(E23:H23)=SUM(I22:I22)</f>
        <v>1</v>
      </c>
    </row>
    <row r="24" spans="1:14" s="22" customFormat="1" ht="20.100000000000001" customHeight="1">
      <c r="A24" s="28"/>
      <c r="B24" s="280" t="s">
        <v>83</v>
      </c>
      <c r="C24" s="281"/>
      <c r="D24" s="281"/>
      <c r="E24" s="281"/>
      <c r="F24" s="281"/>
      <c r="G24" s="281"/>
      <c r="H24" s="281"/>
      <c r="I24" s="281"/>
      <c r="J24" s="41"/>
    </row>
    <row r="25" spans="1:14" s="108" customFormat="1" ht="27.75" customHeight="1">
      <c r="A25" s="29"/>
      <c r="B25" s="120">
        <f>B22+1</f>
        <v>3</v>
      </c>
      <c r="C25" s="155" t="str">
        <f>ССРбаз!C25</f>
        <v>ЛС-07-01-01</v>
      </c>
      <c r="D25" s="154" t="str">
        <f>ССРбаз!D25</f>
        <v xml:space="preserve">Восстановление благоустройства </v>
      </c>
      <c r="E25" s="153">
        <v>6212.01</v>
      </c>
      <c r="F25" s="153"/>
      <c r="G25" s="153"/>
      <c r="H25" s="153"/>
      <c r="I25" s="155">
        <f t="shared" ref="I25" si="2">SUM(E25:H25)</f>
        <v>6212.01</v>
      </c>
      <c r="J25" s="41"/>
      <c r="L25" s="209"/>
    </row>
    <row r="26" spans="1:14" s="22" customFormat="1" ht="20.100000000000001" customHeight="1">
      <c r="A26" s="28"/>
      <c r="B26" s="19"/>
      <c r="C26" s="20"/>
      <c r="D26" s="21" t="s">
        <v>84</v>
      </c>
      <c r="E26" s="18">
        <f>SUM(E25:E25)</f>
        <v>6212.01</v>
      </c>
      <c r="F26" s="18">
        <f>SUM(F25:F25)</f>
        <v>0</v>
      </c>
      <c r="G26" s="18">
        <f>SUM(G25:G25)</f>
        <v>0</v>
      </c>
      <c r="H26" s="18">
        <f>SUM(H25:H25)</f>
        <v>0</v>
      </c>
      <c r="I26" s="18">
        <f>SUM(I25:I25)</f>
        <v>6212.01</v>
      </c>
      <c r="J26" s="41"/>
    </row>
    <row r="27" spans="1:14" s="1" customFormat="1" ht="20.100000000000001" customHeight="1">
      <c r="A27" s="29"/>
      <c r="B27" s="116"/>
      <c r="C27" s="17"/>
      <c r="D27" s="115" t="s">
        <v>36</v>
      </c>
      <c r="E27" s="18">
        <f>E20+E23+E26</f>
        <v>30528.48</v>
      </c>
      <c r="F27" s="18">
        <f>F20+F23+F26</f>
        <v>873.89</v>
      </c>
      <c r="G27" s="18">
        <f>G20+G23+G26</f>
        <v>0</v>
      </c>
      <c r="H27" s="18">
        <f>H20+H23+H26</f>
        <v>0</v>
      </c>
      <c r="I27" s="18">
        <f>I20+I23+I26</f>
        <v>31402.37</v>
      </c>
      <c r="J27" s="41" t="b">
        <f>SUM(E27:H27)=I23+M26+I20+I26</f>
        <v>1</v>
      </c>
      <c r="K27" s="206"/>
      <c r="L27" s="206"/>
      <c r="M27" s="206">
        <f>E19+E22+F22+E25</f>
        <v>31402.37</v>
      </c>
      <c r="N27" s="206"/>
    </row>
    <row r="28" spans="1:14" ht="20.100000000000001" customHeight="1">
      <c r="B28" s="280" t="s">
        <v>37</v>
      </c>
      <c r="C28" s="281"/>
      <c r="D28" s="281"/>
      <c r="E28" s="281"/>
      <c r="F28" s="281"/>
      <c r="G28" s="281"/>
      <c r="H28" s="281"/>
      <c r="I28" s="281"/>
    </row>
    <row r="29" spans="1:14" ht="68.25" customHeight="1">
      <c r="A29" s="31">
        <f>ССРбаз!A29</f>
        <v>1.9199999999999998E-2</v>
      </c>
      <c r="B29" s="120">
        <f>B25+1</f>
        <v>4</v>
      </c>
      <c r="C29" s="24" t="str">
        <f>ИД!A23</f>
        <v>Методика утв. Приказом Минстрой РФ от 19.06.20г. №332/пр, Приложение 1, п.53</v>
      </c>
      <c r="D29" s="24" t="str">
        <f>ССРбаз!D29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9" s="23">
        <f>E27*A29</f>
        <v>586.15</v>
      </c>
      <c r="F29" s="23">
        <f>F27*A29</f>
        <v>16.78</v>
      </c>
      <c r="G29" s="23"/>
      <c r="H29" s="23"/>
      <c r="I29" s="23">
        <f>SUM(E29:H29)</f>
        <v>602.92999999999995</v>
      </c>
      <c r="J29" s="174"/>
      <c r="L29" s="174"/>
    </row>
    <row r="30" spans="1:14" ht="20.100000000000001" customHeight="1">
      <c r="B30" s="19"/>
      <c r="C30" s="20"/>
      <c r="D30" s="21" t="s">
        <v>38</v>
      </c>
      <c r="E30" s="18">
        <f>SUM(E29:E29)</f>
        <v>586.15</v>
      </c>
      <c r="F30" s="18">
        <f>SUM(F29:F29)</f>
        <v>16.78</v>
      </c>
      <c r="G30" s="18">
        <f>SUM(G29:G29)</f>
        <v>0</v>
      </c>
      <c r="H30" s="18">
        <f>SUM(H29:H29)</f>
        <v>0</v>
      </c>
      <c r="I30" s="18">
        <f>SUM(I29:I29)</f>
        <v>602.92999999999995</v>
      </c>
      <c r="J30" s="41" t="b">
        <f>SUM(E30:H30)=SUM(I29:I29)</f>
        <v>1</v>
      </c>
    </row>
    <row r="31" spans="1:14" ht="20.100000000000001" customHeight="1">
      <c r="B31" s="46"/>
      <c r="C31" s="17"/>
      <c r="D31" s="44" t="s">
        <v>39</v>
      </c>
      <c r="E31" s="18">
        <f>E27+E30</f>
        <v>31114.63</v>
      </c>
      <c r="F31" s="18">
        <f>F27+F30</f>
        <v>890.67</v>
      </c>
      <c r="G31" s="18">
        <f>G27+G30</f>
        <v>0</v>
      </c>
      <c r="H31" s="18">
        <f>H27+H30</f>
        <v>0</v>
      </c>
      <c r="I31" s="18">
        <f>I27+I30</f>
        <v>32005.3</v>
      </c>
      <c r="J31" s="41" t="b">
        <f>SUM(E31:H31)=I27+I30</f>
        <v>1</v>
      </c>
    </row>
    <row r="32" spans="1:14" ht="20.100000000000001" customHeight="1">
      <c r="B32" s="280" t="s">
        <v>40</v>
      </c>
      <c r="C32" s="281"/>
      <c r="D32" s="281"/>
      <c r="E32" s="281"/>
      <c r="F32" s="281"/>
      <c r="G32" s="281"/>
      <c r="H32" s="281"/>
      <c r="I32" s="281"/>
    </row>
    <row r="33" spans="1:10" ht="27.75" customHeight="1">
      <c r="B33" s="120">
        <f>B29+1</f>
        <v>5</v>
      </c>
      <c r="C33" s="24" t="str">
        <f>ИД!A24</f>
        <v>СР-1</v>
      </c>
      <c r="D33" s="24" t="str">
        <f>CONCATENATE(ИД!B24," ","(",ИД!E31,"/",1.2,")")</f>
        <v>Стоимость размещения отходов на полигоне ТБО (1207,54/1,2)</v>
      </c>
      <c r="E33" s="23"/>
      <c r="F33" s="23"/>
      <c r="G33" s="23"/>
      <c r="H33" s="23">
        <f>ИД!E31/1.2</f>
        <v>1006.28</v>
      </c>
      <c r="I33" s="23">
        <f t="shared" ref="I33:I36" si="3">SUM(E33:H33)</f>
        <v>1006.28</v>
      </c>
    </row>
    <row r="34" spans="1:10" ht="27.75" customHeight="1">
      <c r="B34" s="120">
        <f>B33+1</f>
        <v>6</v>
      </c>
      <c r="C34" s="24" t="str">
        <f>ИД!A25</f>
        <v>09-01-23-3-ООС  таб.3.1</v>
      </c>
      <c r="D34" s="24" t="str">
        <f>ИД!B25</f>
        <v>Расчёт платы за негативное воздействие на окружающую среду (выбросы загрязняющих веществ в атмосферу)</v>
      </c>
      <c r="E34" s="23"/>
      <c r="F34" s="23"/>
      <c r="G34" s="23"/>
      <c r="H34" s="23">
        <f>ИД!E25</f>
        <v>0.26</v>
      </c>
      <c r="I34" s="23">
        <f>SUM(E34:H34)</f>
        <v>0.26</v>
      </c>
    </row>
    <row r="35" spans="1:10" s="59" customFormat="1" ht="37.5" customHeight="1">
      <c r="A35" s="29"/>
      <c r="B35" s="217">
        <f>B34+1</f>
        <v>7</v>
      </c>
      <c r="C35" s="160" t="str">
        <f>ИД!A26</f>
        <v>09-01-23-3-ООС  таб.3.1</v>
      </c>
      <c r="D35" s="160" t="str">
        <f>ИД!B26</f>
        <v>Расчёт платы за негативное воздействие на окружающую среду (размещеие отходов)</v>
      </c>
      <c r="E35" s="215"/>
      <c r="F35" s="215"/>
      <c r="G35" s="215"/>
      <c r="H35" s="161">
        <f>ИД!E26</f>
        <v>761.23</v>
      </c>
      <c r="I35" s="161">
        <f t="shared" si="3"/>
        <v>761.23</v>
      </c>
    </row>
    <row r="36" spans="1:10" s="59" customFormat="1" ht="60.75" hidden="1" customHeight="1">
      <c r="A36" s="29"/>
      <c r="B36" s="184">
        <f>B35+1</f>
        <v>8</v>
      </c>
      <c r="C36" s="181" t="str">
        <f>ИД!A27</f>
        <v>09-01-23-3-ООС  таб.3.1</v>
      </c>
      <c r="D36" s="181" t="str">
        <f>CONCATENATE(ИД!B27," (",ИД!E27,"/1,2/1000)")</f>
        <v>Плата за технологическое присоединение к сетям АО "ДРСК" (0/1,2/1000)</v>
      </c>
      <c r="E36" s="185"/>
      <c r="F36" s="185"/>
      <c r="G36" s="185"/>
      <c r="H36" s="182"/>
      <c r="I36" s="182">
        <f t="shared" si="3"/>
        <v>0</v>
      </c>
    </row>
    <row r="37" spans="1:10" s="59" customFormat="1" ht="26.25" customHeight="1">
      <c r="A37" s="29"/>
      <c r="B37" s="120">
        <f>B35+1</f>
        <v>8</v>
      </c>
      <c r="C37" s="154" t="str">
        <f>ИД!A28</f>
        <v>09-01-23-3-ООС  таб.3.1</v>
      </c>
      <c r="D37" s="154" t="str">
        <f>ИД!B28</f>
        <v>Расчет затрат на экологический мониторинг</v>
      </c>
      <c r="E37" s="216"/>
      <c r="F37" s="216"/>
      <c r="G37" s="216"/>
      <c r="H37" s="155">
        <f>ИД!E28</f>
        <v>10.53</v>
      </c>
      <c r="I37" s="155">
        <f>SUM(E37:H37)</f>
        <v>10.53</v>
      </c>
    </row>
    <row r="38" spans="1:10" ht="18" customHeight="1">
      <c r="B38" s="19"/>
      <c r="C38" s="20"/>
      <c r="D38" s="21" t="s">
        <v>41</v>
      </c>
      <c r="E38" s="18">
        <f>SUM(E33:E37)</f>
        <v>0</v>
      </c>
      <c r="F38" s="18">
        <f t="shared" ref="F38:I38" si="4">SUM(F33:F37)</f>
        <v>0</v>
      </c>
      <c r="G38" s="18">
        <f t="shared" si="4"/>
        <v>0</v>
      </c>
      <c r="H38" s="18">
        <f t="shared" si="4"/>
        <v>1778.3</v>
      </c>
      <c r="I38" s="18">
        <f t="shared" si="4"/>
        <v>1778.3</v>
      </c>
      <c r="J38" s="41" t="b">
        <f>SUM(E38:H38)=SUM(I33:I37)</f>
        <v>1</v>
      </c>
    </row>
    <row r="39" spans="1:10" ht="18" customHeight="1">
      <c r="B39" s="56"/>
      <c r="C39" s="17"/>
      <c r="D39" s="55" t="s">
        <v>42</v>
      </c>
      <c r="E39" s="18">
        <f>E31+E38</f>
        <v>31114.63</v>
      </c>
      <c r="F39" s="18">
        <f>F31+F38</f>
        <v>890.67</v>
      </c>
      <c r="G39" s="18">
        <f>G31+G38</f>
        <v>0</v>
      </c>
      <c r="H39" s="18">
        <f>H31+H38</f>
        <v>1778.3</v>
      </c>
      <c r="I39" s="18">
        <f>I31+I38</f>
        <v>33783.599999999999</v>
      </c>
      <c r="J39" s="41" t="b">
        <f>SUM(E39:H39)=I31+I38</f>
        <v>1</v>
      </c>
    </row>
    <row r="40" spans="1:10" s="22" customFormat="1" ht="18" customHeight="1">
      <c r="B40" s="280" t="s">
        <v>54</v>
      </c>
      <c r="C40" s="281"/>
      <c r="D40" s="281"/>
      <c r="E40" s="281"/>
      <c r="F40" s="281"/>
      <c r="G40" s="281"/>
      <c r="H40" s="281"/>
      <c r="I40" s="281"/>
    </row>
    <row r="41" spans="1:10" s="22" customFormat="1" ht="38.25">
      <c r="A41" s="54">
        <f>ИД!D29%</f>
        <v>2.1399999999999999E-2</v>
      </c>
      <c r="B41" s="120">
        <f>B37+1</f>
        <v>9</v>
      </c>
      <c r="C41" s="101" t="str">
        <f>ССРбаз!C41</f>
        <v>Постановление Правительства РФ от 21.06.2010г. №468</v>
      </c>
      <c r="D41" s="40" t="str">
        <f>CONCATENATE(ИД!B29," ","-"," ",ИД!D29,ИД!E29," ","от"," ",I39)</f>
        <v>Строительный контроль - 2,14% от 33783,6</v>
      </c>
      <c r="E41" s="34"/>
      <c r="F41" s="34"/>
      <c r="G41" s="34"/>
      <c r="H41" s="37">
        <f>I39*$A$41</f>
        <v>722.97</v>
      </c>
      <c r="I41" s="37">
        <f>SUM(E41:H41)</f>
        <v>722.97</v>
      </c>
    </row>
    <row r="42" spans="1:10" s="22" customFormat="1" ht="18" customHeight="1">
      <c r="A42" s="28"/>
      <c r="B42" s="19"/>
      <c r="C42" s="20"/>
      <c r="D42" s="21" t="s">
        <v>56</v>
      </c>
      <c r="E42" s="18"/>
      <c r="F42" s="18"/>
      <c r="G42" s="18"/>
      <c r="H42" s="18">
        <f>SUM(H41:H41)</f>
        <v>722.97</v>
      </c>
      <c r="I42" s="18">
        <f>SUM(I41:I41)</f>
        <v>722.97</v>
      </c>
      <c r="J42" s="41"/>
    </row>
    <row r="43" spans="1:10" s="49" customFormat="1" ht="56.1" customHeight="1">
      <c r="A43" s="94">
        <v>2E-3</v>
      </c>
      <c r="B43" s="280" t="s">
        <v>76</v>
      </c>
      <c r="C43" s="281"/>
      <c r="D43" s="281"/>
      <c r="E43" s="281"/>
      <c r="F43" s="281"/>
      <c r="G43" s="281"/>
      <c r="H43" s="281"/>
      <c r="I43" s="281"/>
      <c r="J43" s="52"/>
    </row>
    <row r="44" spans="1:10" s="49" customFormat="1" ht="54.75" customHeight="1">
      <c r="B44" s="93">
        <f>B41+1</f>
        <v>10</v>
      </c>
      <c r="C44" s="105" t="str">
        <f>ИД!A30</f>
        <v>Методика утв. Приказом Минстрой РФ от 04.08.2020г. №421/пр п.173</v>
      </c>
      <c r="D44" s="91" t="str">
        <f>CONCATENATE(ИД!$B$30," - ",ИД!$D$30,ИД!$E$30," от ",I39,"
")</f>
        <v xml:space="preserve">Авторский надзор  - 0,2% от 33783,6
</v>
      </c>
      <c r="E44" s="48"/>
      <c r="F44" s="48"/>
      <c r="G44" s="48"/>
      <c r="H44" s="37">
        <f>I39*A43</f>
        <v>67.569999999999993</v>
      </c>
      <c r="I44" s="92">
        <f>SUM(E44:H44)</f>
        <v>67.569999999999993</v>
      </c>
      <c r="J44" s="52"/>
    </row>
    <row r="45" spans="1:10" s="49" customFormat="1" ht="45.75" customHeight="1">
      <c r="A45" s="47"/>
      <c r="B45" s="197">
        <f>B44+1</f>
        <v>11</v>
      </c>
      <c r="C45" s="198" t="str">
        <f>ИД!A31</f>
        <v xml:space="preserve"> Смета №1-4</v>
      </c>
      <c r="D45" s="198" t="str">
        <f>ИД!B31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v>
      </c>
      <c r="E45" s="199"/>
      <c r="F45" s="199"/>
      <c r="G45" s="199"/>
      <c r="H45" s="200">
        <f>ИД!E31</f>
        <v>1207.54</v>
      </c>
      <c r="I45" s="200">
        <f t="shared" ref="I45:I48" si="5">SUM(E45:H45)</f>
        <v>1207.54</v>
      </c>
      <c r="J45" s="52"/>
    </row>
    <row r="46" spans="1:10" s="49" customFormat="1" ht="36.75" customHeight="1">
      <c r="A46" s="47"/>
      <c r="B46" s="197">
        <f>B45+1</f>
        <v>12</v>
      </c>
      <c r="C46" s="198" t="str">
        <f>ИД!A32</f>
        <v>Смета №5</v>
      </c>
      <c r="D46" s="198" t="str">
        <f>ИД!B32</f>
        <v>Разработка проектной документации</v>
      </c>
      <c r="E46" s="199"/>
      <c r="F46" s="199"/>
      <c r="G46" s="199"/>
      <c r="H46" s="200">
        <f>ИД!E32</f>
        <v>476.82</v>
      </c>
      <c r="I46" s="200">
        <f t="shared" si="5"/>
        <v>476.82</v>
      </c>
      <c r="J46" s="52"/>
    </row>
    <row r="47" spans="1:10" s="49" customFormat="1" ht="36" customHeight="1">
      <c r="A47" s="47"/>
      <c r="B47" s="197">
        <f>B46+1</f>
        <v>13</v>
      </c>
      <c r="C47" s="198" t="str">
        <f>ИД!A33</f>
        <v>Смета №6</v>
      </c>
      <c r="D47" s="198" t="str">
        <f>ИД!B33</f>
        <v>Разработка рабочей документации</v>
      </c>
      <c r="E47" s="199"/>
      <c r="F47" s="199"/>
      <c r="G47" s="199"/>
      <c r="H47" s="200">
        <f>ИД!E33</f>
        <v>715.23</v>
      </c>
      <c r="I47" s="200">
        <f t="shared" si="5"/>
        <v>715.23</v>
      </c>
      <c r="J47" s="52"/>
    </row>
    <row r="48" spans="1:10" s="49" customFormat="1" ht="42" customHeight="1">
      <c r="A48" s="47"/>
      <c r="B48" s="197">
        <f>B47+1</f>
        <v>14</v>
      </c>
      <c r="C48" s="198" t="str">
        <f>ИД!A34</f>
        <v>Постановление Правительства РФ №145от 05.03.2007г.</v>
      </c>
      <c r="D48" s="198" t="str">
        <f>CONCATENATE(ИД!B34," ","(",ИД!D31,"*",0.273,"+",ИД!D32,"*",0.273,")","*",ИД!B20)</f>
        <v>Проведение государственной экспертизы по объекту (225,29*0,273+89,63*0,273)*6,92</v>
      </c>
      <c r="E48" s="199"/>
      <c r="F48" s="199"/>
      <c r="G48" s="199"/>
      <c r="H48" s="200">
        <f>(ИД!D31*0.273+ИД!D32*0.273)*ИД!B20</f>
        <v>594.92999999999995</v>
      </c>
      <c r="I48" s="200">
        <f t="shared" si="5"/>
        <v>594.92999999999995</v>
      </c>
      <c r="J48" s="52"/>
    </row>
    <row r="49" spans="1:10" s="49" customFormat="1" ht="18" customHeight="1">
      <c r="A49" s="47"/>
      <c r="B49" s="56"/>
      <c r="C49" s="17"/>
      <c r="D49" s="21" t="s">
        <v>43</v>
      </c>
      <c r="E49" s="18">
        <f>SUM(E44:E48)</f>
        <v>0</v>
      </c>
      <c r="F49" s="18">
        <f>SUM(F44:F48)</f>
        <v>0</v>
      </c>
      <c r="G49" s="18">
        <f>SUM(G44:G48)</f>
        <v>0</v>
      </c>
      <c r="H49" s="18">
        <f>SUM(H44:H48)</f>
        <v>3062.09</v>
      </c>
      <c r="I49" s="18">
        <f>SUM(I44:I48)</f>
        <v>3062.09</v>
      </c>
      <c r="J49" s="52"/>
    </row>
    <row r="50" spans="1:10" s="22" customFormat="1" ht="18" customHeight="1">
      <c r="A50" s="28"/>
      <c r="B50" s="46"/>
      <c r="C50" s="17"/>
      <c r="D50" s="44" t="s">
        <v>44</v>
      </c>
      <c r="E50" s="18">
        <f>E39+E42+E49</f>
        <v>31114.63</v>
      </c>
      <c r="F50" s="18">
        <f>F39+F42+F49</f>
        <v>890.67</v>
      </c>
      <c r="G50" s="18">
        <f>G39+G42+G49</f>
        <v>0</v>
      </c>
      <c r="H50" s="18">
        <f>H39+H42+H49</f>
        <v>5563.36</v>
      </c>
      <c r="I50" s="18">
        <f>I39+I42+I49</f>
        <v>37568.660000000003</v>
      </c>
      <c r="J50" s="41" t="b">
        <f>SUM(E50:H50)=I39+I42+I49</f>
        <v>1</v>
      </c>
    </row>
    <row r="51" spans="1:10" s="22" customFormat="1" ht="19.5" customHeight="1">
      <c r="A51" s="28"/>
      <c r="B51" s="280" t="s">
        <v>45</v>
      </c>
      <c r="C51" s="281"/>
      <c r="D51" s="281"/>
      <c r="E51" s="281"/>
      <c r="F51" s="281"/>
      <c r="G51" s="281"/>
      <c r="H51" s="281"/>
      <c r="I51" s="281"/>
    </row>
    <row r="52" spans="1:10" s="22" customFormat="1" ht="54.75" customHeight="1">
      <c r="A52" s="30">
        <f>ССРбаз!A52</f>
        <v>0.03</v>
      </c>
      <c r="B52" s="42">
        <f>B48+1</f>
        <v>15</v>
      </c>
      <c r="C52" s="24" t="str">
        <f>ИД!A35</f>
        <v>Методика утв. Приказом Минстрой РФ от 04.08.2020г. №421/пр п.179</v>
      </c>
      <c r="D52" s="45" t="s">
        <v>57</v>
      </c>
      <c r="E52" s="23">
        <f>E50*$A$52</f>
        <v>933.44</v>
      </c>
      <c r="F52" s="23">
        <f>F50*$A$52</f>
        <v>26.72</v>
      </c>
      <c r="G52" s="23">
        <f t="shared" ref="G52:H52" si="6">G50*$A$52</f>
        <v>0</v>
      </c>
      <c r="H52" s="23">
        <f t="shared" si="6"/>
        <v>166.9</v>
      </c>
      <c r="I52" s="23">
        <f>SUM(E52:H52)</f>
        <v>1127.06</v>
      </c>
      <c r="J52" s="41"/>
    </row>
    <row r="53" spans="1:10" s="22" customFormat="1" ht="18" customHeight="1">
      <c r="A53" s="28"/>
      <c r="B53" s="34"/>
      <c r="C53" s="34"/>
      <c r="D53" s="44" t="s">
        <v>46</v>
      </c>
      <c r="E53" s="18">
        <f>E50+E52</f>
        <v>32048.07</v>
      </c>
      <c r="F53" s="18">
        <f>F50+F52</f>
        <v>917.39</v>
      </c>
      <c r="G53" s="18">
        <f>G50+G52</f>
        <v>0</v>
      </c>
      <c r="H53" s="18">
        <f>H50+H52</f>
        <v>5730.26</v>
      </c>
      <c r="I53" s="18">
        <f>I50+I52</f>
        <v>38695.72</v>
      </c>
      <c r="J53" s="41" t="b">
        <f>SUM(E53:H53)=I50+I52</f>
        <v>1</v>
      </c>
    </row>
    <row r="54" spans="1:10" s="22" customFormat="1" ht="18" customHeight="1">
      <c r="A54" s="28"/>
      <c r="B54" s="280" t="s">
        <v>47</v>
      </c>
      <c r="C54" s="281"/>
      <c r="D54" s="281"/>
      <c r="E54" s="281"/>
      <c r="F54" s="281"/>
      <c r="G54" s="281"/>
      <c r="H54" s="281"/>
      <c r="I54" s="281"/>
    </row>
    <row r="55" spans="1:10" s="22" customFormat="1" ht="35.25" customHeight="1">
      <c r="A55" s="30">
        <v>0.2</v>
      </c>
      <c r="B55" s="163">
        <f>B52+1</f>
        <v>16</v>
      </c>
      <c r="C55" s="12" t="s">
        <v>80</v>
      </c>
      <c r="D55" s="45" t="s">
        <v>48</v>
      </c>
      <c r="E55" s="23">
        <f>E53*$A$55</f>
        <v>6409.61</v>
      </c>
      <c r="F55" s="23">
        <f t="shared" ref="F55:G55" si="7">F53*$A$55</f>
        <v>183.48</v>
      </c>
      <c r="G55" s="23">
        <f t="shared" si="7"/>
        <v>0</v>
      </c>
      <c r="H55" s="23">
        <f>(H53)*$A$55</f>
        <v>1146.05</v>
      </c>
      <c r="I55" s="23">
        <f>SUM(E55:H55)</f>
        <v>7739.14</v>
      </c>
      <c r="J55" s="41"/>
    </row>
    <row r="56" spans="1:10" s="22" customFormat="1" ht="36.75" customHeight="1">
      <c r="A56" s="28"/>
      <c r="B56" s="25"/>
      <c r="C56" s="26"/>
      <c r="D56" s="44" t="str">
        <f>CONCATENATE("Всего по сводному сметному расчету в текущем уровне цен на ", ИД!B11)</f>
        <v>Всего по сводному сметному расчету в текущем уровне цен на 1 квартал 2023 г.</v>
      </c>
      <c r="E56" s="18">
        <f>E53+E55</f>
        <v>38457.68</v>
      </c>
      <c r="F56" s="18">
        <f t="shared" ref="F56:I56" si="8">F53+F55</f>
        <v>1100.8699999999999</v>
      </c>
      <c r="G56" s="18">
        <f t="shared" si="8"/>
        <v>0</v>
      </c>
      <c r="H56" s="18">
        <f t="shared" si="8"/>
        <v>6876.31</v>
      </c>
      <c r="I56" s="18">
        <f t="shared" si="8"/>
        <v>46434.86</v>
      </c>
      <c r="J56" s="41" t="b">
        <f>SUM(E56:H56)=I53+I55</f>
        <v>1</v>
      </c>
    </row>
    <row r="57" spans="1:10" s="187" customFormat="1" ht="18" customHeight="1">
      <c r="A57" s="192"/>
      <c r="B57" s="193"/>
      <c r="C57" s="194"/>
      <c r="D57" s="189" t="s">
        <v>106</v>
      </c>
      <c r="E57" s="27"/>
      <c r="F57" s="195"/>
      <c r="G57" s="195"/>
      <c r="H57" s="195"/>
      <c r="I57" s="27">
        <f>ИД!E38</f>
        <v>433.02</v>
      </c>
    </row>
    <row r="58" spans="1:10">
      <c r="A58" s="32"/>
      <c r="B58" s="233"/>
      <c r="C58" s="233"/>
      <c r="D58" s="234" t="s">
        <v>139</v>
      </c>
      <c r="E58" s="235"/>
      <c r="F58" s="235"/>
      <c r="G58" s="235"/>
      <c r="H58" s="235"/>
      <c r="I58" s="236">
        <f>H45+H46+H47</f>
        <v>2399.59</v>
      </c>
      <c r="J58" s="38"/>
    </row>
    <row r="59" spans="1:10">
      <c r="A59" s="32"/>
      <c r="J59" s="38"/>
    </row>
    <row r="60" spans="1:10">
      <c r="A60" s="32"/>
      <c r="J60" s="38"/>
    </row>
    <row r="61" spans="1:10">
      <c r="A61" s="32"/>
      <c r="C61" s="43" t="str">
        <f>CONCATENATE(ИД!$A$6,ИД!$B$5)</f>
        <v>Генеральный директор  ООО "ИВЦ "Энергоактив""</v>
      </c>
      <c r="D61" s="1"/>
      <c r="E61" s="282"/>
      <c r="F61" s="282"/>
      <c r="G61" s="282"/>
      <c r="H61" s="57" t="str">
        <f>ИД!$B$6</f>
        <v>С.В. Лопашук</v>
      </c>
      <c r="I61" s="1"/>
      <c r="J61" s="38"/>
    </row>
    <row r="62" spans="1:10">
      <c r="A62" s="32"/>
      <c r="C62" s="3"/>
      <c r="D62" s="57"/>
      <c r="E62" s="9"/>
      <c r="F62" s="9"/>
      <c r="G62" s="9"/>
      <c r="H62" s="57"/>
      <c r="I62" s="9"/>
      <c r="J62" s="38"/>
    </row>
    <row r="63" spans="1:10">
      <c r="A63" s="32"/>
      <c r="C63" s="3"/>
      <c r="D63" s="57"/>
      <c r="E63" s="9"/>
      <c r="F63" s="9"/>
      <c r="G63" s="9"/>
      <c r="H63" s="57"/>
      <c r="I63" s="9"/>
      <c r="J63" s="38"/>
    </row>
    <row r="64" spans="1:10">
      <c r="A64" s="32"/>
      <c r="C64" s="43" t="str">
        <f>CONCATENATE(ИД!$A$7,ИД!$B$5)</f>
        <v>Главный инженер проекта ООО "ИВЦ "Энергоактив""</v>
      </c>
      <c r="D64" s="1"/>
      <c r="E64" s="282"/>
      <c r="F64" s="282"/>
      <c r="G64" s="282"/>
      <c r="H64" s="108" t="str">
        <f>ИД!B7</f>
        <v>Н.В.Петров</v>
      </c>
      <c r="I64" s="1"/>
      <c r="J64" s="38"/>
    </row>
    <row r="65" spans="1:10">
      <c r="A65" s="32"/>
      <c r="C65" s="3"/>
      <c r="D65" s="57"/>
      <c r="E65" s="9"/>
      <c r="F65" s="9"/>
      <c r="G65" s="9"/>
      <c r="H65" s="57"/>
      <c r="I65" s="9"/>
      <c r="J65" s="38"/>
    </row>
    <row r="66" spans="1:10">
      <c r="A66" s="32"/>
      <c r="C66" s="3"/>
      <c r="D66" s="57"/>
      <c r="E66" s="9"/>
      <c r="F66" s="9"/>
      <c r="G66" s="9"/>
      <c r="H66" s="57"/>
      <c r="I66" s="9"/>
      <c r="J66" s="38"/>
    </row>
    <row r="67" spans="1:10">
      <c r="A67" s="32"/>
      <c r="C67" s="3" t="s">
        <v>50</v>
      </c>
      <c r="D67" s="57"/>
      <c r="E67" s="223"/>
      <c r="F67" s="223"/>
      <c r="G67" s="223"/>
      <c r="H67" s="57"/>
      <c r="I67" s="9"/>
      <c r="J67" s="38"/>
    </row>
    <row r="68" spans="1:10" ht="24.75" customHeight="1">
      <c r="A68" s="32"/>
      <c r="C68" s="283"/>
      <c r="D68" s="283"/>
      <c r="E68" s="279"/>
      <c r="F68" s="279"/>
      <c r="G68" s="279"/>
      <c r="H68" s="61"/>
      <c r="I68" s="9"/>
      <c r="J68" s="38"/>
    </row>
  </sheetData>
  <mergeCells count="25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18:I18"/>
    <mergeCell ref="B21:I21"/>
    <mergeCell ref="B54:I54"/>
    <mergeCell ref="B28:I28"/>
    <mergeCell ref="B32:I32"/>
    <mergeCell ref="B40:I40"/>
    <mergeCell ref="B51:I51"/>
    <mergeCell ref="B24:I24"/>
    <mergeCell ref="E68:G68"/>
    <mergeCell ref="B43:I43"/>
    <mergeCell ref="E61:G61"/>
    <mergeCell ref="E64:G64"/>
    <mergeCell ref="C68:D6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topLeftCell="A7" zoomScaleNormal="100" zoomScaleSheetLayoutView="100" workbookViewId="0">
      <selection activeCell="E21" sqref="E21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33" customHeight="1">
      <c r="B1" s="297" t="str">
        <f>'ОС-01-01'!B1:I1</f>
        <v>09-01-23-3 «Реконструкция распределительных и квартальных тепловых сетей г. Благовещенска Амурской области» Объект 5 (Тепловые сети по ул. Кузнечная от ТК-30А (БТЭЦ) до ТК-28 L=279,8 м D=273мм)</v>
      </c>
      <c r="C1" s="297"/>
      <c r="D1" s="297"/>
      <c r="E1" s="297"/>
      <c r="F1" s="297"/>
      <c r="G1" s="297"/>
      <c r="H1" s="297"/>
      <c r="I1" s="297"/>
    </row>
    <row r="2" spans="1:9">
      <c r="B2" s="298" t="s">
        <v>12</v>
      </c>
      <c r="C2" s="298"/>
      <c r="D2" s="298"/>
      <c r="E2" s="298"/>
      <c r="F2" s="298"/>
      <c r="G2" s="298"/>
      <c r="H2" s="298"/>
      <c r="I2" s="298"/>
    </row>
    <row r="4" spans="1:9" ht="15.75">
      <c r="B4" s="299" t="s">
        <v>144</v>
      </c>
      <c r="C4" s="299"/>
      <c r="D4" s="299"/>
      <c r="E4" s="299"/>
      <c r="F4" s="299"/>
      <c r="G4" s="299"/>
      <c r="H4" s="299"/>
      <c r="I4" s="299"/>
    </row>
    <row r="5" spans="1:9" ht="15.75">
      <c r="B5" s="299" t="s">
        <v>145</v>
      </c>
      <c r="C5" s="299"/>
      <c r="D5" s="299"/>
      <c r="E5" s="299"/>
      <c r="F5" s="299"/>
      <c r="G5" s="299"/>
      <c r="H5" s="299"/>
      <c r="I5" s="299"/>
    </row>
    <row r="6" spans="1:9" ht="15.75">
      <c r="B6" s="237"/>
      <c r="C6" s="237"/>
      <c r="D6" s="237"/>
      <c r="E6" s="237"/>
      <c r="F6" s="237"/>
      <c r="G6" s="237"/>
      <c r="H6" s="237"/>
      <c r="I6" s="237"/>
    </row>
    <row r="7" spans="1:9" s="62" customFormat="1" ht="13.5">
      <c r="A7" s="107"/>
      <c r="B7" s="63"/>
      <c r="C7" s="63"/>
      <c r="D7" s="300" t="s">
        <v>62</v>
      </c>
      <c r="E7" s="300"/>
      <c r="F7" s="300"/>
      <c r="G7" s="300"/>
      <c r="H7" s="300"/>
      <c r="I7" s="63"/>
    </row>
    <row r="8" spans="1:9" s="62" customFormat="1" ht="13.5">
      <c r="A8" s="107"/>
      <c r="B8" s="64"/>
      <c r="C8" s="64"/>
      <c r="D8" s="65"/>
      <c r="E8" s="64"/>
      <c r="F8" s="64"/>
      <c r="G8" s="64"/>
      <c r="H8" s="64"/>
      <c r="I8" s="64"/>
    </row>
    <row r="9" spans="1:9" s="62" customFormat="1" ht="13.5">
      <c r="A9" s="107"/>
      <c r="B9" s="64"/>
      <c r="C9" s="63"/>
      <c r="D9" s="296" t="s">
        <v>63</v>
      </c>
      <c r="E9" s="296"/>
      <c r="F9" s="296"/>
      <c r="G9" s="296"/>
      <c r="H9" s="66">
        <f>I24</f>
        <v>456.22</v>
      </c>
      <c r="I9" s="67" t="s">
        <v>28</v>
      </c>
    </row>
    <row r="10" spans="1:9" s="62" customFormat="1" ht="13.5">
      <c r="A10" s="107"/>
      <c r="B10" s="64"/>
      <c r="C10" s="63"/>
      <c r="D10" s="294" t="s">
        <v>64</v>
      </c>
      <c r="E10" s="294"/>
      <c r="F10" s="294"/>
      <c r="G10" s="294"/>
      <c r="H10" s="242">
        <f>ИД!K21</f>
        <v>0.32500000000000001</v>
      </c>
      <c r="I10" s="88" t="str">
        <f>'[1]ОС-01-01тек'!I10</f>
        <v>км</v>
      </c>
    </row>
    <row r="11" spans="1:9" s="62" customFormat="1" ht="13.5">
      <c r="A11" s="107"/>
      <c r="B11" s="64"/>
      <c r="C11" s="63"/>
      <c r="D11" s="294" t="s">
        <v>65</v>
      </c>
      <c r="E11" s="294"/>
      <c r="F11" s="294"/>
      <c r="G11" s="294"/>
      <c r="H11" s="68">
        <f>H9/H10*1000</f>
        <v>1403753.85</v>
      </c>
      <c r="I11" s="238" t="s">
        <v>66</v>
      </c>
    </row>
    <row r="12" spans="1:9" s="69" customFormat="1" ht="13.5">
      <c r="A12" s="108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08"/>
      <c r="C13" s="71"/>
      <c r="D13" s="72" t="s">
        <v>157</v>
      </c>
      <c r="E13" s="72"/>
      <c r="F13" s="72"/>
      <c r="G13" s="72"/>
      <c r="H13" s="72"/>
      <c r="I13" s="72"/>
    </row>
    <row r="14" spans="1:9" ht="15.75">
      <c r="B14" s="237"/>
      <c r="C14" s="237"/>
      <c r="D14" s="58"/>
      <c r="E14" s="58"/>
      <c r="F14" s="58"/>
      <c r="G14" s="35"/>
      <c r="H14" s="33"/>
      <c r="I14" s="237"/>
    </row>
    <row r="15" spans="1:9">
      <c r="B15" s="295" t="s">
        <v>16</v>
      </c>
      <c r="C15" s="295" t="s">
        <v>67</v>
      </c>
      <c r="D15" s="295" t="s">
        <v>68</v>
      </c>
      <c r="E15" s="295" t="s">
        <v>17</v>
      </c>
      <c r="F15" s="295"/>
      <c r="G15" s="295"/>
      <c r="H15" s="295"/>
      <c r="I15" s="295"/>
    </row>
    <row r="16" spans="1:9" ht="94.5">
      <c r="B16" s="295"/>
      <c r="C16" s="295"/>
      <c r="D16" s="295"/>
      <c r="E16" s="73" t="s">
        <v>69</v>
      </c>
      <c r="F16" s="239" t="s">
        <v>15</v>
      </c>
      <c r="G16" s="239" t="s">
        <v>70</v>
      </c>
      <c r="H16" s="239" t="s">
        <v>71</v>
      </c>
      <c r="I16" s="239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27">
      <c r="A18" s="108"/>
      <c r="B18" s="74">
        <v>1</v>
      </c>
      <c r="C18" s="74" t="str">
        <f>'[2]ОС-01-01'!C18</f>
        <v>ЛС-01-01-01</v>
      </c>
      <c r="D18" s="243" t="str">
        <f>'[2]ОС-01-01'!D18</f>
        <v>Разборка существующего покрытия и тротуара</v>
      </c>
      <c r="E18" s="87">
        <v>369.83</v>
      </c>
      <c r="F18" s="87"/>
      <c r="G18" s="87"/>
      <c r="H18" s="87"/>
      <c r="I18" s="87">
        <f t="shared" ref="I18:I19" si="0">SUM(E18:H18)</f>
        <v>369.83</v>
      </c>
    </row>
    <row r="19" spans="1:9" s="69" customFormat="1" ht="28.5" customHeight="1">
      <c r="A19" s="108"/>
      <c r="B19" s="74">
        <f>B18+1</f>
        <v>2</v>
      </c>
      <c r="C19" s="74" t="str">
        <f>'[2]ОС-01-01'!C19</f>
        <v>ЛС-01-01-02</v>
      </c>
      <c r="D19" s="243" t="str">
        <f>'[2]ОС-01-01'!D19</f>
        <v>Устройство защиты кабелей сети связи</v>
      </c>
      <c r="E19" s="87">
        <v>64.760000000000005</v>
      </c>
      <c r="F19" s="87"/>
      <c r="G19" s="87"/>
      <c r="H19" s="87"/>
      <c r="I19" s="87">
        <f t="shared" si="0"/>
        <v>64.760000000000005</v>
      </c>
    </row>
    <row r="20" spans="1:9" s="113" customFormat="1" ht="13.5">
      <c r="A20" s="109"/>
      <c r="B20" s="110"/>
      <c r="C20" s="110"/>
      <c r="D20" s="111" t="s">
        <v>60</v>
      </c>
      <c r="E20" s="112">
        <f>SUM(E18:E19)</f>
        <v>434.59</v>
      </c>
      <c r="F20" s="112"/>
      <c r="G20" s="112"/>
      <c r="H20" s="112"/>
      <c r="I20" s="112">
        <f t="shared" ref="I20" si="1">SUM(I18:I19)</f>
        <v>434.59</v>
      </c>
    </row>
    <row r="21" spans="1:9" s="76" customFormat="1" ht="94.5">
      <c r="A21" s="31">
        <f>'[1]ОС-01-01тек'!A22</f>
        <v>1.9199999999999998E-2</v>
      </c>
      <c r="B21" s="78">
        <f>B19+1</f>
        <v>3</v>
      </c>
      <c r="C21" s="80" t="str">
        <f>[1]ИД!A24</f>
        <v>Методика утв. Приказом Минстрой РФ от 19.06.20г. №332/пр, Приложение 1, п.53</v>
      </c>
      <c r="D21" s="84" t="str">
        <f>'[1]ОС-01-01тек'!D22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</v>
      </c>
      <c r="E21" s="82">
        <f>E20*A21</f>
        <v>8.34</v>
      </c>
      <c r="F21" s="82"/>
      <c r="G21" s="82"/>
      <c r="H21" s="83"/>
      <c r="I21" s="82">
        <f>SUM(E21:H21)</f>
        <v>8.34</v>
      </c>
    </row>
    <row r="22" spans="1:9" s="76" customFormat="1" ht="13.5">
      <c r="A22" s="22"/>
      <c r="B22" s="77"/>
      <c r="C22" s="77"/>
      <c r="D22" s="79" t="s">
        <v>60</v>
      </c>
      <c r="E22" s="83">
        <f>SUM(E20:E21)</f>
        <v>442.93</v>
      </c>
      <c r="F22" s="83"/>
      <c r="G22" s="83"/>
      <c r="H22" s="83"/>
      <c r="I22" s="83">
        <f t="shared" ref="I22" si="2">SUM(I20:I21)</f>
        <v>442.93</v>
      </c>
    </row>
    <row r="23" spans="1:9" s="76" customFormat="1" ht="67.5">
      <c r="A23" s="244">
        <f>[1]ИД!$E$36</f>
        <v>0.03</v>
      </c>
      <c r="B23" s="78">
        <f>B21+1</f>
        <v>4</v>
      </c>
      <c r="C23" s="80" t="str">
        <f>[1]ИД!$A$36</f>
        <v>Методика утв. Приказом Минстрой РФ от 04.08.2020г. №421/пр п.179</v>
      </c>
      <c r="D23" s="81" t="str">
        <f>CONCATENATE([1]ИД!$B$36," - ","3%",)</f>
        <v>Непредвиденные работы и затраты - 3%</v>
      </c>
      <c r="E23" s="82">
        <f>E22*A23</f>
        <v>13.29</v>
      </c>
      <c r="F23" s="82"/>
      <c r="G23" s="82"/>
      <c r="H23" s="82"/>
      <c r="I23" s="82">
        <f>SUM(E23:H23)</f>
        <v>13.29</v>
      </c>
    </row>
    <row r="24" spans="1:9" s="76" customFormat="1" ht="13.5">
      <c r="A24" s="22"/>
      <c r="B24" s="86"/>
      <c r="C24" s="86"/>
      <c r="D24" s="86" t="s">
        <v>61</v>
      </c>
      <c r="E24" s="89">
        <f>SUM(E22:E23)</f>
        <v>456.22</v>
      </c>
      <c r="F24" s="89"/>
      <c r="G24" s="89"/>
      <c r="H24" s="89"/>
      <c r="I24" s="89">
        <f t="shared" ref="I24" si="3">SUM(I22:I23)</f>
        <v>456.22</v>
      </c>
    </row>
    <row r="25" spans="1:9" s="22" customFormat="1" ht="12.75"/>
    <row r="27" spans="1:9" s="59" customFormat="1">
      <c r="A27" s="108"/>
      <c r="D27" s="13" t="s">
        <v>30</v>
      </c>
      <c r="G27" s="59" t="str">
        <f>'[1]ОС-01-01тек'!G29</f>
        <v>Н.В.Петров</v>
      </c>
    </row>
    <row r="28" spans="1:9" s="59" customFormat="1">
      <c r="A28" s="108"/>
      <c r="D28" s="14"/>
    </row>
    <row r="29" spans="1:9" s="59" customFormat="1">
      <c r="A29" s="108"/>
      <c r="D29" s="15" t="str">
        <f>[1]ИД!$A$8</f>
        <v>Составил</v>
      </c>
      <c r="G29" s="59" t="str">
        <f>[1]ИД!$B$8</f>
        <v>А.В.Исаев</v>
      </c>
    </row>
    <row r="30" spans="1:9" s="59" customFormat="1">
      <c r="A30" s="108"/>
      <c r="D30" s="15"/>
    </row>
    <row r="31" spans="1:9" s="59" customFormat="1">
      <c r="A31" s="108"/>
      <c r="D31" s="15" t="str">
        <f>[1]ИД!$A$9</f>
        <v>Проверил</v>
      </c>
      <c r="E31" s="60"/>
      <c r="G31" s="59" t="str">
        <f>[1]ИД!$B$9</f>
        <v>Н.В.Петров</v>
      </c>
    </row>
    <row r="32" spans="1:9" s="59" customFormat="1">
      <c r="A32" s="108"/>
      <c r="D32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ageMargins left="0.7" right="0.7" top="0.75" bottom="0.75" header="0.3" footer="0.3"/>
  <pageSetup paperSize="9" scale="66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topLeftCell="A10" zoomScaleNormal="100" zoomScaleSheetLayoutView="100" workbookViewId="0">
      <selection activeCell="G20" sqref="G20"/>
    </sheetView>
  </sheetViews>
  <sheetFormatPr defaultRowHeight="15"/>
  <cols>
    <col min="1" max="1" width="7.7109375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297" t="str">
        <f>CONCATENATE(ИД!$B$10,ИД!$C$11)</f>
        <v>09-01-23-3 «Реконструкция распределительных и квартальных тепловых сетей г. Благовещенска Амурской области» Объект 5 (Тепловые сети по ул. Кузнечная от ТК-30А (БТЭЦ) до ТК-28 L=279,8 м D=273мм)</v>
      </c>
      <c r="C1" s="297"/>
      <c r="D1" s="297"/>
      <c r="E1" s="297"/>
      <c r="F1" s="297"/>
      <c r="G1" s="297"/>
      <c r="H1" s="297"/>
      <c r="I1" s="297"/>
    </row>
    <row r="2" spans="1:9">
      <c r="B2" s="298" t="s">
        <v>12</v>
      </c>
      <c r="C2" s="298"/>
      <c r="D2" s="298"/>
      <c r="E2" s="298"/>
      <c r="F2" s="298"/>
      <c r="G2" s="298"/>
      <c r="H2" s="298"/>
      <c r="I2" s="298"/>
    </row>
    <row r="4" spans="1:9" ht="15.75">
      <c r="B4" s="299" t="s">
        <v>85</v>
      </c>
      <c r="C4" s="299"/>
      <c r="D4" s="299"/>
      <c r="E4" s="299"/>
      <c r="F4" s="299"/>
      <c r="G4" s="299"/>
      <c r="H4" s="299"/>
      <c r="I4" s="299"/>
    </row>
    <row r="5" spans="1:9" ht="15.75">
      <c r="B5" s="299" t="s">
        <v>95</v>
      </c>
      <c r="C5" s="299"/>
      <c r="D5" s="299"/>
      <c r="E5" s="299"/>
      <c r="F5" s="299"/>
      <c r="G5" s="299"/>
      <c r="H5" s="299"/>
      <c r="I5" s="299"/>
    </row>
    <row r="6" spans="1:9" ht="15.75">
      <c r="B6" s="122"/>
      <c r="C6" s="122"/>
      <c r="D6" s="122"/>
      <c r="E6" s="122"/>
      <c r="F6" s="122"/>
      <c r="G6" s="122"/>
      <c r="H6" s="122"/>
      <c r="I6" s="122"/>
    </row>
    <row r="7" spans="1:9" s="62" customFormat="1" ht="13.5">
      <c r="A7" s="107"/>
      <c r="B7" s="63"/>
      <c r="C7" s="63"/>
      <c r="D7" s="300" t="s">
        <v>62</v>
      </c>
      <c r="E7" s="300"/>
      <c r="F7" s="300"/>
      <c r="G7" s="300"/>
      <c r="H7" s="300"/>
      <c r="I7" s="63"/>
    </row>
    <row r="8" spans="1:9" s="62" customFormat="1" ht="13.5">
      <c r="A8" s="107"/>
      <c r="B8" s="64"/>
      <c r="C8" s="64"/>
      <c r="D8" s="65"/>
      <c r="E8" s="64"/>
      <c r="F8" s="64"/>
      <c r="G8" s="64"/>
      <c r="H8" s="64"/>
      <c r="I8" s="64"/>
    </row>
    <row r="9" spans="1:9" s="62" customFormat="1" ht="15" customHeight="1">
      <c r="A9" s="107"/>
      <c r="B9" s="64"/>
      <c r="C9" s="63"/>
      <c r="D9" s="296" t="s">
        <v>63</v>
      </c>
      <c r="E9" s="296"/>
      <c r="F9" s="296"/>
      <c r="G9" s="296"/>
      <c r="H9" s="66">
        <f>I28</f>
        <v>0</v>
      </c>
      <c r="I9" s="67" t="s">
        <v>28</v>
      </c>
    </row>
    <row r="10" spans="1:9" s="62" customFormat="1" ht="32.1" customHeight="1">
      <c r="A10" s="107"/>
      <c r="B10" s="64"/>
      <c r="C10" s="63"/>
      <c r="D10" s="294" t="s">
        <v>64</v>
      </c>
      <c r="E10" s="294"/>
      <c r="F10" s="294"/>
      <c r="G10" s="294"/>
      <c r="H10" s="68" t="e">
        <f>ИД!#REF!</f>
        <v>#REF!</v>
      </c>
      <c r="I10" s="88" t="e">
        <f>ИД!#REF!</f>
        <v>#REF!</v>
      </c>
    </row>
    <row r="11" spans="1:9" s="62" customFormat="1" ht="32.1" customHeight="1">
      <c r="A11" s="107"/>
      <c r="B11" s="64"/>
      <c r="C11" s="63"/>
      <c r="D11" s="294" t="s">
        <v>65</v>
      </c>
      <c r="E11" s="294"/>
      <c r="F11" s="294"/>
      <c r="G11" s="294"/>
      <c r="H11" s="68" t="e">
        <f>H9/H10*1000</f>
        <v>#REF!</v>
      </c>
      <c r="I11" s="124" t="s">
        <v>66</v>
      </c>
    </row>
    <row r="12" spans="1:9" s="69" customFormat="1" ht="13.5">
      <c r="A12" s="108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08"/>
      <c r="C13" s="71"/>
      <c r="D13" s="72" t="s">
        <v>96</v>
      </c>
      <c r="E13" s="72"/>
      <c r="F13" s="72"/>
      <c r="G13" s="72"/>
      <c r="H13" s="72"/>
      <c r="I13" s="72"/>
    </row>
    <row r="14" spans="1:9" ht="15.75">
      <c r="B14" s="122"/>
      <c r="C14" s="122"/>
      <c r="D14" s="58"/>
      <c r="E14" s="58"/>
      <c r="F14" s="58"/>
      <c r="G14" s="35"/>
      <c r="H14" s="33"/>
      <c r="I14" s="122"/>
    </row>
    <row r="15" spans="1:9" ht="15" customHeight="1">
      <c r="B15" s="295" t="s">
        <v>16</v>
      </c>
      <c r="C15" s="295" t="s">
        <v>67</v>
      </c>
      <c r="D15" s="295" t="s">
        <v>68</v>
      </c>
      <c r="E15" s="295" t="s">
        <v>17</v>
      </c>
      <c r="F15" s="295"/>
      <c r="G15" s="295"/>
      <c r="H15" s="295"/>
      <c r="I15" s="295"/>
    </row>
    <row r="16" spans="1:9" ht="85.5" customHeight="1">
      <c r="B16" s="295"/>
      <c r="C16" s="295"/>
      <c r="D16" s="295"/>
      <c r="E16" s="73" t="s">
        <v>69</v>
      </c>
      <c r="F16" s="123" t="s">
        <v>15</v>
      </c>
      <c r="G16" s="123" t="s">
        <v>70</v>
      </c>
      <c r="H16" s="123" t="s">
        <v>71</v>
      </c>
      <c r="I16" s="123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20.25" customHeight="1">
      <c r="A18" s="108"/>
      <c r="B18" s="74">
        <v>1</v>
      </c>
      <c r="C18" s="74" t="s">
        <v>86</v>
      </c>
      <c r="D18" s="75" t="s">
        <v>91</v>
      </c>
      <c r="E18" s="87">
        <v>0</v>
      </c>
      <c r="F18" s="87"/>
      <c r="G18" s="87"/>
      <c r="H18" s="87"/>
      <c r="I18" s="87">
        <f>SUM(E18:H18)</f>
        <v>0</v>
      </c>
    </row>
    <row r="19" spans="1:9" s="69" customFormat="1" ht="20.25" customHeight="1">
      <c r="A19" s="108"/>
      <c r="B19" s="74">
        <f>B18+1</f>
        <v>2</v>
      </c>
      <c r="C19" s="74" t="s">
        <v>87</v>
      </c>
      <c r="D19" s="75" t="s">
        <v>92</v>
      </c>
      <c r="E19" s="87">
        <v>0</v>
      </c>
      <c r="F19" s="87"/>
      <c r="G19" s="87"/>
      <c r="H19" s="87"/>
      <c r="I19" s="87">
        <f t="shared" ref="I19:I21" si="0">SUM(E19:H19)</f>
        <v>0</v>
      </c>
    </row>
    <row r="20" spans="1:9" s="69" customFormat="1" ht="20.25" customHeight="1">
      <c r="A20" s="108"/>
      <c r="B20" s="74">
        <f t="shared" ref="B20:B21" si="1">B19+1</f>
        <v>3</v>
      </c>
      <c r="C20" s="74" t="s">
        <v>88</v>
      </c>
      <c r="D20" s="75" t="s">
        <v>90</v>
      </c>
      <c r="E20" s="87">
        <v>0</v>
      </c>
      <c r="F20" s="87">
        <v>0</v>
      </c>
      <c r="G20" s="87"/>
      <c r="H20" s="87"/>
      <c r="I20" s="87">
        <f t="shared" si="0"/>
        <v>0</v>
      </c>
    </row>
    <row r="21" spans="1:9" s="69" customFormat="1" ht="20.25" customHeight="1">
      <c r="A21" s="108"/>
      <c r="B21" s="74">
        <f t="shared" si="1"/>
        <v>4</v>
      </c>
      <c r="C21" s="74" t="s">
        <v>89</v>
      </c>
      <c r="D21" s="75" t="s">
        <v>93</v>
      </c>
      <c r="E21" s="87">
        <v>0</v>
      </c>
      <c r="F21" s="87">
        <v>0</v>
      </c>
      <c r="G21" s="87">
        <v>0</v>
      </c>
      <c r="H21" s="87"/>
      <c r="I21" s="87">
        <f t="shared" si="0"/>
        <v>0</v>
      </c>
    </row>
    <row r="22" spans="1:9" s="113" customFormat="1" ht="15" customHeight="1">
      <c r="A22" s="109"/>
      <c r="B22" s="110"/>
      <c r="C22" s="110"/>
      <c r="D22" s="111" t="s">
        <v>60</v>
      </c>
      <c r="E22" s="112">
        <f>SUM(E18:E21)</f>
        <v>0</v>
      </c>
      <c r="F22" s="112">
        <f>SUM(F18:F21)</f>
        <v>0</v>
      </c>
      <c r="G22" s="112">
        <f>SUM(G18:G21)</f>
        <v>0</v>
      </c>
      <c r="H22" s="112">
        <f>SUM(H18:H21)</f>
        <v>0</v>
      </c>
      <c r="I22" s="112">
        <f>SUM(I18:I21)</f>
        <v>0</v>
      </c>
    </row>
    <row r="23" spans="1:9" s="76" customFormat="1" ht="81">
      <c r="A23" s="31">
        <f>ИД!$G$23%</f>
        <v>1.9199999999999998E-2</v>
      </c>
      <c r="B23" s="78">
        <f>B21+1</f>
        <v>5</v>
      </c>
      <c r="C23" s="114" t="str">
        <f>ИД!$A$23</f>
        <v>Методика утв. Приказом Минстрой РФ от 19.06.20г. №332/пр, Приложение 1, п.53</v>
      </c>
      <c r="D23" s="81" t="str">
        <f>CONCATENATE(ИД!$B$23," - ",ИД!$D$23,ИД!$E$23,"х",ИД!$F$23,"=",ИД!$G$23,ИД!$E$23)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2">
        <f>E22*$A$23</f>
        <v>0</v>
      </c>
      <c r="F23" s="82">
        <f>F22*A23</f>
        <v>0</v>
      </c>
      <c r="G23" s="82"/>
      <c r="H23" s="83"/>
      <c r="I23" s="82">
        <f>SUM(E23:H23)</f>
        <v>0</v>
      </c>
    </row>
    <row r="24" spans="1:9" s="76" customFormat="1" ht="18" customHeight="1">
      <c r="A24" s="22"/>
      <c r="B24" s="77"/>
      <c r="C24" s="77"/>
      <c r="D24" s="79" t="s">
        <v>60</v>
      </c>
      <c r="E24" s="83">
        <f>SUM(E22:E23)</f>
        <v>0</v>
      </c>
      <c r="F24" s="83">
        <f t="shared" ref="F24:I24" si="2">SUM(F22:F23)</f>
        <v>0</v>
      </c>
      <c r="G24" s="83">
        <f t="shared" si="2"/>
        <v>0</v>
      </c>
      <c r="H24" s="83">
        <f t="shared" si="2"/>
        <v>0</v>
      </c>
      <c r="I24" s="83">
        <f t="shared" si="2"/>
        <v>0</v>
      </c>
    </row>
    <row r="25" spans="1:9" s="76" customFormat="1" ht="13.5">
      <c r="A25" s="150">
        <v>0.1125</v>
      </c>
      <c r="B25" s="78">
        <f>B23+1</f>
        <v>6</v>
      </c>
      <c r="C25" s="80" t="e">
        <f>ИД!#REF!</f>
        <v>#REF!</v>
      </c>
      <c r="D25" s="84" t="e">
        <f>CONCATENATE(ИД!#REF!," - ",ИД!#REF!,ИД!#REF!,"*",0.9,"=",11.25,"%")</f>
        <v>#REF!</v>
      </c>
      <c r="E25" s="82">
        <f>E24*A25</f>
        <v>0</v>
      </c>
      <c r="F25" s="121">
        <f>F24*A25</f>
        <v>0</v>
      </c>
      <c r="G25" s="77"/>
      <c r="H25" s="77"/>
      <c r="I25" s="82">
        <f>SUM(E25:H25)</f>
        <v>0</v>
      </c>
    </row>
    <row r="26" spans="1:9" s="76" customFormat="1" ht="18" customHeight="1">
      <c r="A26" s="28"/>
      <c r="B26" s="78"/>
      <c r="C26" s="85"/>
      <c r="D26" s="79" t="s">
        <v>60</v>
      </c>
      <c r="E26" s="83">
        <f>SUM(E24:E25)</f>
        <v>0</v>
      </c>
      <c r="F26" s="83">
        <f>SUM(F24:F25)</f>
        <v>0</v>
      </c>
      <c r="G26" s="83">
        <f>SUM(G24:G25)</f>
        <v>0</v>
      </c>
      <c r="H26" s="83">
        <f>SUM(H24:H25)</f>
        <v>0</v>
      </c>
      <c r="I26" s="83">
        <f>SUM(I24:I25)</f>
        <v>0</v>
      </c>
    </row>
    <row r="27" spans="1:9" s="76" customFormat="1" ht="60">
      <c r="A27" s="31">
        <f>ИД!$E$35</f>
        <v>1.4999999999999999E-2</v>
      </c>
      <c r="B27" s="78">
        <f>B25+1</f>
        <v>7</v>
      </c>
      <c r="C27" s="114" t="str">
        <f>ИД!$A$35</f>
        <v>Методика утв. Приказом Минстрой РФ от 04.08.2020г. №421/пр п.179</v>
      </c>
      <c r="D27" s="81" t="str">
        <f>CONCATENATE(ИД!$B$35," - ","1,5%",)</f>
        <v>Непредвиденные работы и затраты - 1,5%</v>
      </c>
      <c r="E27" s="82">
        <f>E26*$A$27</f>
        <v>0</v>
      </c>
      <c r="F27" s="82">
        <f t="shared" ref="F27:H27" si="3">F26*$A$27</f>
        <v>0</v>
      </c>
      <c r="G27" s="82">
        <f>G26*$A$27</f>
        <v>0</v>
      </c>
      <c r="H27" s="82">
        <f t="shared" si="3"/>
        <v>0</v>
      </c>
      <c r="I27" s="82">
        <f>SUM(E27:H27)</f>
        <v>0</v>
      </c>
    </row>
    <row r="28" spans="1:9" s="76" customFormat="1" ht="20.100000000000001" customHeight="1">
      <c r="A28" s="22"/>
      <c r="B28" s="86"/>
      <c r="C28" s="86"/>
      <c r="D28" s="86" t="s">
        <v>61</v>
      </c>
      <c r="E28" s="89">
        <f>SUM(E26:E27)</f>
        <v>0</v>
      </c>
      <c r="F28" s="89">
        <f t="shared" ref="F28:I28" si="4">SUM(F26:F27)</f>
        <v>0</v>
      </c>
      <c r="G28" s="89">
        <f t="shared" si="4"/>
        <v>0</v>
      </c>
      <c r="H28" s="89">
        <f t="shared" si="4"/>
        <v>0</v>
      </c>
      <c r="I28" s="89">
        <f t="shared" si="4"/>
        <v>0</v>
      </c>
    </row>
    <row r="29" spans="1:9" s="22" customFormat="1" ht="12.75"/>
    <row r="31" spans="1:9" s="59" customFormat="1">
      <c r="A31" s="108"/>
      <c r="D31" s="13" t="s">
        <v>30</v>
      </c>
      <c r="G31" s="59" t="str">
        <f>ИД!$B$7</f>
        <v>Н.В.Петров</v>
      </c>
    </row>
    <row r="32" spans="1:9" s="59" customFormat="1">
      <c r="A32" s="108"/>
      <c r="D32" s="14"/>
    </row>
    <row r="33" spans="1:7" s="59" customFormat="1">
      <c r="A33" s="108"/>
      <c r="D33" s="59" t="e">
        <f>ИД!#REF!</f>
        <v>#REF!</v>
      </c>
      <c r="G33" s="59" t="e">
        <f>ИД!#REF!</f>
        <v>#REF!</v>
      </c>
    </row>
    <row r="34" spans="1:7" s="59" customFormat="1">
      <c r="A34" s="108"/>
      <c r="D34" s="15"/>
    </row>
    <row r="35" spans="1:7" s="59" customFormat="1">
      <c r="A35" s="108"/>
      <c r="D35" s="15" t="str">
        <f>ИД!$A$8</f>
        <v>Составил</v>
      </c>
      <c r="G35" s="59" t="str">
        <f>ИД!$B$8</f>
        <v>А.В.Исаев</v>
      </c>
    </row>
    <row r="36" spans="1:7" s="59" customFormat="1">
      <c r="A36" s="108"/>
      <c r="D36" s="15"/>
    </row>
    <row r="37" spans="1:7" s="59" customFormat="1">
      <c r="A37" s="108"/>
      <c r="D37" s="15" t="str">
        <f>ИД!$A$9</f>
        <v>Проверил</v>
      </c>
      <c r="E37" s="60"/>
      <c r="G37" s="59" t="str">
        <f>ИД!$B$9</f>
        <v>Н.В.Петров</v>
      </c>
    </row>
    <row r="38" spans="1:7" s="59" customFormat="1">
      <c r="A38" s="108"/>
      <c r="D38" s="16"/>
    </row>
  </sheetData>
  <mergeCells count="12">
    <mergeCell ref="D10:G10"/>
    <mergeCell ref="D11:G11"/>
    <mergeCell ref="B15:B16"/>
    <mergeCell ref="C15:C16"/>
    <mergeCell ref="D15:D16"/>
    <mergeCell ref="E15:I15"/>
    <mergeCell ref="D9:G9"/>
    <mergeCell ref="B1:I1"/>
    <mergeCell ref="B2:I2"/>
    <mergeCell ref="B4:I4"/>
    <mergeCell ref="B5:I5"/>
    <mergeCell ref="D7:H7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12289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1228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showZeros="0" view="pageBreakPreview" topLeftCell="A34" zoomScaleNormal="100" zoomScaleSheetLayoutView="100" workbookViewId="0">
      <selection activeCell="H49" sqref="H49"/>
    </sheetView>
  </sheetViews>
  <sheetFormatPr defaultRowHeight="15"/>
  <cols>
    <col min="1" max="1" width="6.42578125" style="32" bestFit="1" customWidth="1"/>
    <col min="2" max="2" width="5.7109375" style="32" customWidth="1"/>
    <col min="3" max="3" width="19.7109375" style="32" customWidth="1"/>
    <col min="4" max="4" width="48.7109375" style="32" customWidth="1"/>
    <col min="5" max="5" width="16.28515625" style="32" customWidth="1"/>
    <col min="6" max="8" width="13.7109375" style="32" customWidth="1"/>
    <col min="9" max="9" width="15.7109375" style="32" customWidth="1"/>
    <col min="10" max="10" width="9.140625" style="38"/>
    <col min="11" max="16384" width="9.140625" style="32"/>
  </cols>
  <sheetData>
    <row r="1" spans="2:9">
      <c r="B1" s="2"/>
      <c r="C1" s="3"/>
      <c r="D1" s="50"/>
      <c r="E1" s="2"/>
      <c r="F1" s="2"/>
      <c r="G1" s="2"/>
      <c r="H1" s="2"/>
      <c r="I1" s="5" t="s">
        <v>8</v>
      </c>
    </row>
    <row r="2" spans="2:9">
      <c r="B2" s="2"/>
      <c r="C2" s="3" t="s">
        <v>9</v>
      </c>
      <c r="D2" s="291" t="str">
        <f>ИД!B2</f>
        <v>ООО "Сервер"</v>
      </c>
      <c r="E2" s="291"/>
      <c r="F2" s="291"/>
      <c r="G2" s="291"/>
      <c r="H2" s="291"/>
      <c r="I2" s="2"/>
    </row>
    <row r="3" spans="2:9">
      <c r="B3" s="2"/>
      <c r="C3" s="3"/>
      <c r="D3" s="292" t="s">
        <v>10</v>
      </c>
      <c r="E3" s="292"/>
      <c r="F3" s="292"/>
      <c r="G3" s="292"/>
      <c r="H3" s="292"/>
      <c r="I3" s="2"/>
    </row>
    <row r="4" spans="2:9">
      <c r="B4" s="2"/>
      <c r="C4" s="3" t="s">
        <v>156</v>
      </c>
      <c r="D4" s="6"/>
      <c r="E4" s="2"/>
      <c r="F4" s="7"/>
      <c r="G4" s="2"/>
      <c r="H4" s="2"/>
      <c r="I4" s="2"/>
    </row>
    <row r="5" spans="2:9">
      <c r="B5" s="2"/>
      <c r="C5" s="3"/>
      <c r="D5" s="50"/>
      <c r="E5" s="2"/>
      <c r="F5" s="7"/>
      <c r="G5" s="2"/>
      <c r="H5" s="2"/>
      <c r="I5" s="2"/>
    </row>
    <row r="6" spans="2:9">
      <c r="B6" s="2"/>
      <c r="C6" s="53" t="str">
        <f>" Сводный сметный расчет сметной стоимостью     "&amp;I53&amp;"     тыс.руб."</f>
        <v xml:space="preserve"> Сводный сметный расчет сметной стоимостью     2973,9     тыс.руб.</v>
      </c>
      <c r="D6" s="50"/>
      <c r="E6" s="2"/>
      <c r="F6" s="7"/>
      <c r="G6" s="2"/>
      <c r="H6" s="2"/>
      <c r="I6" s="2"/>
    </row>
    <row r="7" spans="2:9">
      <c r="B7" s="2"/>
      <c r="C7" s="8"/>
      <c r="D7" s="291"/>
      <c r="E7" s="291"/>
      <c r="F7" s="291"/>
      <c r="G7" s="291"/>
      <c r="H7" s="291"/>
      <c r="I7" s="2"/>
    </row>
    <row r="8" spans="2:9">
      <c r="B8" s="2"/>
      <c r="C8" s="3"/>
      <c r="D8" s="292" t="s">
        <v>11</v>
      </c>
      <c r="E8" s="292"/>
      <c r="F8" s="292"/>
      <c r="G8" s="292"/>
      <c r="H8" s="292"/>
      <c r="I8" s="2"/>
    </row>
    <row r="9" spans="2:9">
      <c r="B9" s="2"/>
      <c r="C9" s="3"/>
      <c r="D9" s="50"/>
      <c r="E9" s="9"/>
      <c r="F9" s="9"/>
      <c r="G9" s="9"/>
      <c r="H9" s="2"/>
      <c r="I9" s="2"/>
    </row>
    <row r="10" spans="2:9" ht="18.75" customHeight="1">
      <c r="B10" s="2"/>
      <c r="C10" s="3"/>
      <c r="D10" s="293" t="s">
        <v>102</v>
      </c>
      <c r="E10" s="293"/>
      <c r="F10" s="293"/>
      <c r="G10" s="293"/>
      <c r="H10" s="293"/>
      <c r="I10" s="2"/>
    </row>
    <row r="11" spans="2:9">
      <c r="B11" s="2"/>
      <c r="C11" s="3"/>
      <c r="D11" s="50"/>
      <c r="E11" s="9"/>
      <c r="F11" s="9"/>
      <c r="G11" s="2"/>
      <c r="H11" s="2"/>
      <c r="I11" s="2"/>
    </row>
    <row r="12" spans="2:9" ht="26.25" customHeight="1">
      <c r="B12" s="2"/>
      <c r="C12" s="3"/>
      <c r="D12" s="290" t="str">
        <f>CONCATENATE(ИД!B10,ИД!C11)</f>
        <v>09-01-23-3 «Реконструкция распределительных и квартальных тепловых сетей г. Благовещенска Амурской области» Объект 5 (Тепловые сети по ул. Кузнечная от ТК-30А (БТЭЦ) до ТК-28 L=279,8 м D=273мм)</v>
      </c>
      <c r="E12" s="290"/>
      <c r="F12" s="290"/>
      <c r="G12" s="290"/>
      <c r="H12" s="290"/>
      <c r="I12" s="2"/>
    </row>
    <row r="13" spans="2:9">
      <c r="B13" s="2"/>
      <c r="C13" s="3"/>
      <c r="D13" s="292" t="s">
        <v>12</v>
      </c>
      <c r="E13" s="292"/>
      <c r="F13" s="292"/>
      <c r="G13" s="292"/>
      <c r="H13" s="292"/>
      <c r="I13" s="2"/>
    </row>
    <row r="14" spans="2:9" ht="21" customHeight="1">
      <c r="B14" s="285" t="s">
        <v>27</v>
      </c>
      <c r="C14" s="285"/>
      <c r="D14" s="285"/>
      <c r="E14" s="285"/>
      <c r="F14" s="285"/>
      <c r="G14" s="285"/>
      <c r="H14" s="285"/>
      <c r="I14" s="285"/>
    </row>
    <row r="15" spans="2:9" ht="15" customHeight="1">
      <c r="B15" s="286" t="s">
        <v>13</v>
      </c>
      <c r="C15" s="287" t="s">
        <v>67</v>
      </c>
      <c r="D15" s="286" t="s">
        <v>77</v>
      </c>
      <c r="E15" s="301" t="s">
        <v>14</v>
      </c>
      <c r="F15" s="301"/>
      <c r="G15" s="301"/>
      <c r="H15" s="301"/>
      <c r="I15" s="301"/>
    </row>
    <row r="16" spans="2:9" ht="81.75" customHeight="1">
      <c r="B16" s="286"/>
      <c r="C16" s="287"/>
      <c r="D16" s="286"/>
      <c r="E16" s="102" t="s">
        <v>78</v>
      </c>
      <c r="F16" s="102" t="s">
        <v>15</v>
      </c>
      <c r="G16" s="102" t="s">
        <v>70</v>
      </c>
      <c r="H16" s="102" t="s">
        <v>79</v>
      </c>
      <c r="I16" s="102" t="s">
        <v>18</v>
      </c>
    </row>
    <row r="17" spans="1:14">
      <c r="B17" s="56">
        <v>1</v>
      </c>
      <c r="C17" s="10">
        <v>2</v>
      </c>
      <c r="D17" s="56">
        <v>3</v>
      </c>
      <c r="E17" s="56">
        <v>4</v>
      </c>
      <c r="F17" s="56">
        <v>5</v>
      </c>
      <c r="G17" s="56">
        <v>6</v>
      </c>
      <c r="H17" s="56">
        <v>7</v>
      </c>
      <c r="I17" s="56">
        <v>8</v>
      </c>
    </row>
    <row r="18" spans="1:14" s="22" customFormat="1" ht="21" customHeight="1">
      <c r="A18" s="28"/>
      <c r="B18" s="280" t="s">
        <v>29</v>
      </c>
      <c r="C18" s="281"/>
      <c r="D18" s="281"/>
      <c r="E18" s="281"/>
      <c r="F18" s="281"/>
      <c r="G18" s="281"/>
      <c r="H18" s="281"/>
      <c r="I18" s="281"/>
      <c r="J18" s="38"/>
    </row>
    <row r="19" spans="1:14" s="22" customFormat="1" ht="27.75" customHeight="1">
      <c r="A19" s="28"/>
      <c r="B19" s="39">
        <v>1</v>
      </c>
      <c r="C19" s="23" t="s">
        <v>147</v>
      </c>
      <c r="D19" s="24" t="s">
        <v>145</v>
      </c>
      <c r="E19" s="23">
        <f>'ОС-01-01'!E20</f>
        <v>22.7</v>
      </c>
      <c r="F19" s="23"/>
      <c r="G19" s="23"/>
      <c r="H19" s="23"/>
      <c r="I19" s="23">
        <f t="shared" ref="I19" si="0">SUM(E19:H19)</f>
        <v>22.7</v>
      </c>
      <c r="J19" s="38"/>
      <c r="L19" s="208"/>
    </row>
    <row r="20" spans="1:14" s="22" customFormat="1" ht="20.100000000000001" customHeight="1">
      <c r="A20" s="28"/>
      <c r="B20" s="39"/>
      <c r="C20" s="20"/>
      <c r="D20" s="21" t="s">
        <v>33</v>
      </c>
      <c r="E20" s="18">
        <f>SUM(E19:E19)</f>
        <v>22.7</v>
      </c>
      <c r="F20" s="18">
        <f>SUM(F19:F19)</f>
        <v>0</v>
      </c>
      <c r="G20" s="18">
        <f>SUM(G19:G19)</f>
        <v>0</v>
      </c>
      <c r="H20" s="18">
        <f>SUM(H19:H19)</f>
        <v>0</v>
      </c>
      <c r="I20" s="18">
        <f>SUM(I19:I19)</f>
        <v>22.7</v>
      </c>
      <c r="J20" s="41" t="b">
        <f>SUM(E20:H20)=SUM(I19:I19)</f>
        <v>1</v>
      </c>
    </row>
    <row r="21" spans="1:14" s="22" customFormat="1" ht="20.100000000000001" customHeight="1">
      <c r="A21" s="28"/>
      <c r="B21" s="280" t="s">
        <v>34</v>
      </c>
      <c r="C21" s="281"/>
      <c r="D21" s="281"/>
      <c r="E21" s="281"/>
      <c r="F21" s="281"/>
      <c r="G21" s="281"/>
      <c r="H21" s="281"/>
      <c r="I21" s="281"/>
      <c r="J21" s="38"/>
    </row>
    <row r="22" spans="1:14" s="22" customFormat="1" ht="24" customHeight="1">
      <c r="A22" s="28"/>
      <c r="B22" s="39">
        <f>B19+1</f>
        <v>2</v>
      </c>
      <c r="C22" s="23" t="s">
        <v>142</v>
      </c>
      <c r="D22" s="24" t="s">
        <v>140</v>
      </c>
      <c r="E22" s="23">
        <v>1503.01</v>
      </c>
      <c r="F22" s="23">
        <v>21.01</v>
      </c>
      <c r="G22" s="23"/>
      <c r="H22" s="23"/>
      <c r="I22" s="23">
        <f>SUM(E22:H22)</f>
        <v>1524.02</v>
      </c>
      <c r="J22" s="38"/>
      <c r="L22" s="208"/>
    </row>
    <row r="23" spans="1:14" s="22" customFormat="1" ht="20.100000000000001" customHeight="1">
      <c r="A23" s="28"/>
      <c r="B23" s="19"/>
      <c r="C23" s="20"/>
      <c r="D23" s="21" t="s">
        <v>35</v>
      </c>
      <c r="E23" s="18">
        <f>SUM(E22:E22)</f>
        <v>1503.01</v>
      </c>
      <c r="F23" s="18">
        <f>SUM(F22:F22)</f>
        <v>21.01</v>
      </c>
      <c r="G23" s="18">
        <f>SUM(G22:G22)</f>
        <v>0</v>
      </c>
      <c r="H23" s="18">
        <f>SUM(H22:H22)</f>
        <v>0</v>
      </c>
      <c r="I23" s="18">
        <f>SUM(I22:I22)</f>
        <v>1524.02</v>
      </c>
      <c r="J23" s="41" t="b">
        <f>SUM(E23:H23)=SUM(I22:I22)</f>
        <v>1</v>
      </c>
    </row>
    <row r="24" spans="1:14" s="22" customFormat="1" ht="22.5" customHeight="1">
      <c r="A24" s="28"/>
      <c r="B24" s="280" t="s">
        <v>83</v>
      </c>
      <c r="C24" s="281"/>
      <c r="D24" s="281"/>
      <c r="E24" s="281"/>
      <c r="F24" s="281"/>
      <c r="G24" s="281"/>
      <c r="H24" s="281"/>
      <c r="I24" s="281"/>
      <c r="J24" s="41"/>
    </row>
    <row r="25" spans="1:14" s="108" customFormat="1" ht="25.5" customHeight="1">
      <c r="A25" s="29"/>
      <c r="B25" s="120">
        <f>B22+1</f>
        <v>3</v>
      </c>
      <c r="C25" s="155" t="s">
        <v>143</v>
      </c>
      <c r="D25" s="40" t="s">
        <v>141</v>
      </c>
      <c r="E25" s="36">
        <v>495.42</v>
      </c>
      <c r="F25" s="36"/>
      <c r="G25" s="36"/>
      <c r="H25" s="36"/>
      <c r="I25" s="155">
        <f t="shared" ref="I25" si="1">SUM(E25:H25)</f>
        <v>495.42</v>
      </c>
      <c r="J25" s="41"/>
      <c r="L25" s="209"/>
    </row>
    <row r="26" spans="1:14" s="22" customFormat="1" ht="20.100000000000001" customHeight="1">
      <c r="A26" s="28"/>
      <c r="B26" s="19"/>
      <c r="C26" s="20"/>
      <c r="D26" s="21" t="s">
        <v>84</v>
      </c>
      <c r="E26" s="18">
        <f>SUM(E25:E25)</f>
        <v>495.42</v>
      </c>
      <c r="F26" s="18">
        <f>SUM(F25:F25)</f>
        <v>0</v>
      </c>
      <c r="G26" s="18">
        <f>SUM(G25:G25)</f>
        <v>0</v>
      </c>
      <c r="H26" s="18">
        <f>SUM(H25:H25)</f>
        <v>0</v>
      </c>
      <c r="I26" s="18">
        <f>SUM(I25:I25)</f>
        <v>495.42</v>
      </c>
      <c r="J26" s="41"/>
    </row>
    <row r="27" spans="1:14" s="22" customFormat="1" ht="20.100000000000001" customHeight="1">
      <c r="A27" s="29"/>
      <c r="B27" s="166"/>
      <c r="C27" s="17"/>
      <c r="D27" s="164" t="s">
        <v>36</v>
      </c>
      <c r="E27" s="18">
        <f>E20+E23+E26</f>
        <v>2021.13</v>
      </c>
      <c r="F27" s="18">
        <f>F20+F23+F26</f>
        <v>21.01</v>
      </c>
      <c r="G27" s="18">
        <f>G20+G23+G26</f>
        <v>0</v>
      </c>
      <c r="H27" s="18">
        <f>H20+H23+H26</f>
        <v>0</v>
      </c>
      <c r="I27" s="18">
        <f>I20+I23+I26</f>
        <v>2042.14</v>
      </c>
      <c r="J27" s="41" t="b">
        <f>SUM(E27:H27)=I20+I23+I26</f>
        <v>1</v>
      </c>
      <c r="K27" s="207"/>
      <c r="L27" s="207"/>
      <c r="M27" s="207">
        <f>E19+E22+F22+E25</f>
        <v>2042.14</v>
      </c>
      <c r="N27" s="207"/>
    </row>
    <row r="28" spans="1:14" s="22" customFormat="1" ht="20.100000000000001" customHeight="1">
      <c r="A28" s="28"/>
      <c r="B28" s="280" t="s">
        <v>37</v>
      </c>
      <c r="C28" s="281"/>
      <c r="D28" s="281"/>
      <c r="E28" s="281"/>
      <c r="F28" s="281"/>
      <c r="G28" s="281"/>
      <c r="H28" s="281"/>
      <c r="I28" s="281"/>
      <c r="J28" s="38"/>
    </row>
    <row r="29" spans="1:14" s="22" customFormat="1" ht="66.75" customHeight="1">
      <c r="A29" s="31">
        <f>ИД!$G$23%</f>
        <v>1.9199999999999998E-2</v>
      </c>
      <c r="B29" s="152">
        <f>B25+1</f>
        <v>4</v>
      </c>
      <c r="C29" s="169" t="str">
        <f>ИД!$A$23</f>
        <v>Методика утв. Приказом Минстрой РФ от 19.06.20г. №332/пр, Приложение 1, п.53</v>
      </c>
      <c r="D29" s="170" t="str">
        <f>CONCATENATE(ИД!$B$23," - ",ИД!$D$23,ИД!$E$23,"х",ИД!$F$23,"=",ИД!$G$23,ИД!$E$23)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9" s="37">
        <f>E27*A29</f>
        <v>38.81</v>
      </c>
      <c r="F29" s="37">
        <f>F27*A29</f>
        <v>0.4</v>
      </c>
      <c r="G29" s="23"/>
      <c r="H29" s="23"/>
      <c r="I29" s="23">
        <f>SUM(E29:H29)</f>
        <v>39.21</v>
      </c>
      <c r="J29" s="38"/>
    </row>
    <row r="30" spans="1:14" s="22" customFormat="1" ht="20.100000000000001" customHeight="1">
      <c r="A30" s="28"/>
      <c r="B30" s="19"/>
      <c r="C30" s="24"/>
      <c r="D30" s="21" t="s">
        <v>38</v>
      </c>
      <c r="E30" s="18">
        <f>SUM(E29:E29)</f>
        <v>38.81</v>
      </c>
      <c r="F30" s="18">
        <f>SUM(F29:F29)</f>
        <v>0.4</v>
      </c>
      <c r="G30" s="18">
        <f>SUM(G29:G29)</f>
        <v>0</v>
      </c>
      <c r="H30" s="18">
        <f>SUM(H29:H29)</f>
        <v>0</v>
      </c>
      <c r="I30" s="18">
        <f>SUM(I29:I29)</f>
        <v>39.21</v>
      </c>
      <c r="J30" s="41" t="b">
        <f>SUM(E30:H30)=SUM(I29:I29)</f>
        <v>1</v>
      </c>
    </row>
    <row r="31" spans="1:14" s="22" customFormat="1" ht="20.100000000000001" customHeight="1">
      <c r="A31" s="28"/>
      <c r="B31" s="166"/>
      <c r="C31" s="17"/>
      <c r="D31" s="164" t="s">
        <v>39</v>
      </c>
      <c r="E31" s="18">
        <f>E27+E30</f>
        <v>2059.94</v>
      </c>
      <c r="F31" s="18">
        <f>F27+F30</f>
        <v>21.41</v>
      </c>
      <c r="G31" s="18">
        <f>G27+G30</f>
        <v>0</v>
      </c>
      <c r="H31" s="18">
        <f>H27+H30</f>
        <v>0</v>
      </c>
      <c r="I31" s="18">
        <f>I27+I30</f>
        <v>2081.35</v>
      </c>
      <c r="J31" s="41" t="b">
        <f>SUM(E31:H31)=I27+I30</f>
        <v>1</v>
      </c>
    </row>
    <row r="32" spans="1:14" s="22" customFormat="1" ht="18" customHeight="1">
      <c r="A32" s="28"/>
      <c r="B32" s="280" t="s">
        <v>40</v>
      </c>
      <c r="C32" s="281"/>
      <c r="D32" s="281"/>
      <c r="E32" s="281"/>
      <c r="F32" s="281"/>
      <c r="G32" s="281"/>
      <c r="H32" s="281"/>
      <c r="I32" s="281"/>
      <c r="J32" s="38"/>
    </row>
    <row r="33" spans="1:10" s="22" customFormat="1" ht="30.75" customHeight="1">
      <c r="A33" s="28"/>
      <c r="B33" s="152">
        <f>B29+1</f>
        <v>5</v>
      </c>
      <c r="C33" s="24" t="str">
        <f>ИД!A24</f>
        <v>СР-1</v>
      </c>
      <c r="D33" s="24" t="str">
        <f>CONCATENATE(ИД!B24," ","(",ИД!E24,"/",1.2,"/",ИД!B15,")")</f>
        <v>Стоимость размещения отходов на полигоне ТБО (4435,09/1,2/14,17)</v>
      </c>
      <c r="E33" s="23"/>
      <c r="F33" s="23"/>
      <c r="G33" s="23"/>
      <c r="H33" s="23">
        <f>ИД!E24/1.2/ИД!B15</f>
        <v>260.83</v>
      </c>
      <c r="I33" s="36">
        <f t="shared" ref="I33:I36" si="2">SUM(E33:H33)</f>
        <v>260.83</v>
      </c>
      <c r="J33" s="38"/>
    </row>
    <row r="34" spans="1:10" s="22" customFormat="1" ht="40.5" customHeight="1">
      <c r="A34" s="28"/>
      <c r="B34" s="152">
        <f>B33+1</f>
        <v>6</v>
      </c>
      <c r="C34" s="24" t="str">
        <f>ИД!A25</f>
        <v>09-01-23-3-ООС  таб.3.1</v>
      </c>
      <c r="D34" s="24" t="str">
        <f>CONCATENATE(ИД!B25,"(",ИД!E25,"/",ИД!B15,")")</f>
        <v>Расчёт платы за негативное воздействие на окружающую среду (выбросы загрязняющих веществ в атмосферу)(0,26/14,17)</v>
      </c>
      <c r="E34" s="23"/>
      <c r="F34" s="23"/>
      <c r="G34" s="23"/>
      <c r="H34" s="23">
        <f>ИД!E25/ИД!B15</f>
        <v>0.02</v>
      </c>
      <c r="I34" s="36">
        <f>SUM(E34:H34)</f>
        <v>0.02</v>
      </c>
      <c r="J34" s="38"/>
    </row>
    <row r="35" spans="1:10" s="108" customFormat="1" ht="37.5" customHeight="1">
      <c r="A35" s="29"/>
      <c r="B35" s="152">
        <f>B34+1</f>
        <v>7</v>
      </c>
      <c r="C35" s="160" t="str">
        <f>ИД!A26</f>
        <v>09-01-23-3-ООС  таб.3.1</v>
      </c>
      <c r="D35" s="160" t="str">
        <f>CONCATENATE(ИД!B26,"
(",ИД!E26,"/",ИД!$B$15,")")</f>
        <v>Расчёт платы за негативное воздействие на окружающую среду (размещеие отходов)
(761,23/14,17)</v>
      </c>
      <c r="E35" s="161"/>
      <c r="F35" s="161"/>
      <c r="G35" s="161"/>
      <c r="H35" s="162">
        <f>ИД!E26/ИД!B15</f>
        <v>53.72</v>
      </c>
      <c r="I35" s="196">
        <f t="shared" si="2"/>
        <v>53.72</v>
      </c>
      <c r="J35" s="156"/>
    </row>
    <row r="36" spans="1:10" s="108" customFormat="1" ht="25.5" hidden="1">
      <c r="A36" s="29"/>
      <c r="B36" s="152">
        <f t="shared" ref="B36" si="3">B35+1</f>
        <v>8</v>
      </c>
      <c r="C36" s="181" t="str">
        <f>ИД!A27</f>
        <v>09-01-23-3-ООС  таб.3.1</v>
      </c>
      <c r="D36" s="181" t="str">
        <f>CONCATENATE(ИД!B27," (",ИД!E27,"/1,2/1000/",ИД!$B$15,")")</f>
        <v>Плата за технологическое присоединение к сетям АО "ДРСК" (0/1,2/1000/14,17)</v>
      </c>
      <c r="E36" s="182"/>
      <c r="F36" s="182"/>
      <c r="G36" s="182"/>
      <c r="H36" s="182"/>
      <c r="I36" s="183">
        <f t="shared" si="2"/>
        <v>0</v>
      </c>
      <c r="J36" s="156"/>
    </row>
    <row r="37" spans="1:10" s="108" customFormat="1" ht="27" customHeight="1">
      <c r="A37" s="29"/>
      <c r="B37" s="152">
        <f>B35+1</f>
        <v>8</v>
      </c>
      <c r="C37" s="154" t="str">
        <f>ИД!A28</f>
        <v>09-01-23-3-ООС  таб.3.1</v>
      </c>
      <c r="D37" s="154" t="str">
        <f>CONCATENATE(ИД!B28,"(",ИД!E28,"/",ИД!B15,")")</f>
        <v>Расчет затрат на экологический мониторинг(10,53/14,17)</v>
      </c>
      <c r="E37" s="155"/>
      <c r="F37" s="155"/>
      <c r="G37" s="155"/>
      <c r="H37" s="155">
        <f>ИД!E28/ИД!B15</f>
        <v>0.74</v>
      </c>
      <c r="I37" s="36">
        <f>SUM(E37:H37)</f>
        <v>0.74</v>
      </c>
      <c r="J37" s="156"/>
    </row>
    <row r="38" spans="1:10" s="22" customFormat="1" ht="18" customHeight="1">
      <c r="A38" s="28"/>
      <c r="B38" s="19"/>
      <c r="C38" s="20"/>
      <c r="D38" s="21" t="s">
        <v>41</v>
      </c>
      <c r="E38" s="18">
        <f>SUM(E33:E37)</f>
        <v>0</v>
      </c>
      <c r="F38" s="18">
        <f t="shared" ref="F38:I38" si="4">SUM(F33:F37)</f>
        <v>0</v>
      </c>
      <c r="G38" s="18">
        <f t="shared" si="4"/>
        <v>0</v>
      </c>
      <c r="H38" s="18">
        <f t="shared" si="4"/>
        <v>315.31</v>
      </c>
      <c r="I38" s="18">
        <f t="shared" si="4"/>
        <v>315.31</v>
      </c>
      <c r="J38" s="41" t="b">
        <f>SUM(E38:H38)=SUM(I33:I37)</f>
        <v>1</v>
      </c>
    </row>
    <row r="39" spans="1:10" s="22" customFormat="1" ht="18" customHeight="1">
      <c r="A39" s="28"/>
      <c r="B39" s="166"/>
      <c r="C39" s="17"/>
      <c r="D39" s="164" t="s">
        <v>42</v>
      </c>
      <c r="E39" s="18">
        <f>E31+E38</f>
        <v>2059.94</v>
      </c>
      <c r="F39" s="18">
        <f>F31+F38</f>
        <v>21.41</v>
      </c>
      <c r="G39" s="18">
        <f>G31+G38</f>
        <v>0</v>
      </c>
      <c r="H39" s="18">
        <f>H31+H38</f>
        <v>315.31</v>
      </c>
      <c r="I39" s="18">
        <f>I31+I38</f>
        <v>2396.66</v>
      </c>
      <c r="J39" s="41" t="b">
        <f>SUM(E39:H39)=I31+I38</f>
        <v>1</v>
      </c>
    </row>
    <row r="40" spans="1:10" s="22" customFormat="1" ht="18" customHeight="1">
      <c r="A40" s="28"/>
      <c r="B40" s="280" t="s">
        <v>54</v>
      </c>
      <c r="C40" s="281"/>
      <c r="D40" s="281"/>
      <c r="E40" s="281"/>
      <c r="F40" s="281"/>
      <c r="G40" s="281"/>
      <c r="H40" s="281"/>
      <c r="I40" s="281"/>
      <c r="J40" s="38"/>
    </row>
    <row r="41" spans="1:10" s="22" customFormat="1" ht="45.75" customHeight="1">
      <c r="A41" s="103">
        <f>ИД!D29%</f>
        <v>2.1399999999999999E-2</v>
      </c>
      <c r="B41" s="51">
        <f>B37+1</f>
        <v>9</v>
      </c>
      <c r="C41" s="104" t="str">
        <f>ИД!A29</f>
        <v>Постановление Правительства РФ от 21.06.2010г. №468</v>
      </c>
      <c r="D41" s="40" t="str">
        <f>CONCATENATE(ИД!B29," ","-"," ",ИД!D29,ИД!E29," ","от"," ",ССРбаз!I39)</f>
        <v>Строительный контроль - 2,14% от 2396,66</v>
      </c>
      <c r="E41" s="18"/>
      <c r="F41" s="18"/>
      <c r="G41" s="18"/>
      <c r="H41" s="37">
        <f>I39*$A$41</f>
        <v>51.29</v>
      </c>
      <c r="I41" s="37">
        <f>SUM(E41:H41)</f>
        <v>51.29</v>
      </c>
      <c r="J41" s="38"/>
    </row>
    <row r="42" spans="1:10" s="22" customFormat="1" ht="18" customHeight="1">
      <c r="A42" s="28"/>
      <c r="B42" s="166"/>
      <c r="C42" s="17"/>
      <c r="D42" s="21" t="s">
        <v>56</v>
      </c>
      <c r="E42" s="18"/>
      <c r="F42" s="18"/>
      <c r="G42" s="18"/>
      <c r="H42" s="18">
        <f>SUM(H41:H41)</f>
        <v>51.29</v>
      </c>
      <c r="I42" s="18">
        <f>SUM(I41:I41)</f>
        <v>51.29</v>
      </c>
      <c r="J42" s="38"/>
    </row>
    <row r="43" spans="1:10" s="173" customFormat="1" ht="56.1" customHeight="1">
      <c r="A43" s="171"/>
      <c r="B43" s="280" t="s">
        <v>76</v>
      </c>
      <c r="C43" s="281"/>
      <c r="D43" s="281"/>
      <c r="E43" s="281"/>
      <c r="F43" s="281"/>
      <c r="G43" s="281"/>
      <c r="H43" s="281"/>
      <c r="I43" s="281"/>
      <c r="J43" s="172"/>
    </row>
    <row r="44" spans="1:10" s="173" customFormat="1" ht="56.25" customHeight="1">
      <c r="A44" s="103">
        <v>2E-3</v>
      </c>
      <c r="B44" s="51">
        <f>B41+1</f>
        <v>10</v>
      </c>
      <c r="C44" s="169" t="str">
        <f>ИД!A30</f>
        <v>Методика утв. Приказом Минстрой РФ от 04.08.2020г. №421/пр п.173</v>
      </c>
      <c r="D44" s="40" t="str">
        <f>CONCATENATE(ИД!$B$30," - ",ИД!$D$30,ИД!$E$30," от ",I39,"
")</f>
        <v xml:space="preserve">Авторский надзор  - 0,2% от 2396,66
</v>
      </c>
      <c r="E44" s="27"/>
      <c r="F44" s="27"/>
      <c r="G44" s="27"/>
      <c r="H44" s="37">
        <f>I39*$A$44</f>
        <v>4.79</v>
      </c>
      <c r="I44" s="36">
        <f>SUM(E44:H44)</f>
        <v>4.79</v>
      </c>
      <c r="J44" s="172"/>
    </row>
    <row r="45" spans="1:10" s="173" customFormat="1" ht="51.75" customHeight="1">
      <c r="A45" s="171"/>
      <c r="B45" s="201">
        <f>B44+1</f>
        <v>11</v>
      </c>
      <c r="C45" s="202" t="str">
        <f>ИД!A31</f>
        <v xml:space="preserve"> Смета №1-4</v>
      </c>
      <c r="D45" s="203" t="str">
        <f>CONCATENATE(ИД!B31," ","(",ИД!D31,"/",ИД!E17,")")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 (225,29/1,266)</v>
      </c>
      <c r="E45" s="204"/>
      <c r="F45" s="204"/>
      <c r="G45" s="204"/>
      <c r="H45" s="205">
        <f>ИД!D31/ИД!E17</f>
        <v>177.95</v>
      </c>
      <c r="I45" s="196">
        <f t="shared" ref="I45:I48" si="5">SUM(E45:H45)</f>
        <v>177.95</v>
      </c>
      <c r="J45" s="172"/>
    </row>
    <row r="46" spans="1:10" s="173" customFormat="1" ht="37.5" customHeight="1">
      <c r="A46" s="171"/>
      <c r="B46" s="201">
        <f>B45+1</f>
        <v>12</v>
      </c>
      <c r="C46" s="202" t="str">
        <f>ИД!A32</f>
        <v>Смета №5</v>
      </c>
      <c r="D46" s="203" t="str">
        <f>CONCATENATE(ИД!B32,"(",ИД!D32,"/",ИД!E18,")")</f>
        <v>Разработка проектной документации(89,63/1,19)</v>
      </c>
      <c r="E46" s="204"/>
      <c r="F46" s="204"/>
      <c r="G46" s="204"/>
      <c r="H46" s="205">
        <f>ИД!D32/ИД!E18</f>
        <v>75.319999999999993</v>
      </c>
      <c r="I46" s="196">
        <f t="shared" si="5"/>
        <v>75.319999999999993</v>
      </c>
      <c r="J46" s="172"/>
    </row>
    <row r="47" spans="1:10" s="173" customFormat="1" ht="31.5" customHeight="1">
      <c r="A47" s="171"/>
      <c r="B47" s="201">
        <f>B46+1</f>
        <v>13</v>
      </c>
      <c r="C47" s="202" t="str">
        <f>ИД!A33</f>
        <v>Смета №6</v>
      </c>
      <c r="D47" s="203" t="str">
        <f>CONCATENATE(ИД!B33,"(",ИД!D33,"/",ИД!E18,")")</f>
        <v>Разработка рабочей документации(133,44/1,19)</v>
      </c>
      <c r="E47" s="204"/>
      <c r="F47" s="204"/>
      <c r="G47" s="204"/>
      <c r="H47" s="205">
        <f>ИД!D33/ИД!E18</f>
        <v>112.13</v>
      </c>
      <c r="I47" s="196">
        <f t="shared" si="5"/>
        <v>112.13</v>
      </c>
      <c r="J47" s="172"/>
    </row>
    <row r="48" spans="1:10" s="173" customFormat="1" ht="42.75" customHeight="1">
      <c r="A48" s="171"/>
      <c r="B48" s="201">
        <f>B47+1</f>
        <v>14</v>
      </c>
      <c r="C48" s="202" t="str">
        <f>ИД!A34</f>
        <v>Постановление Правительства РФ №145от 05.03.2007г.</v>
      </c>
      <c r="D48" s="203" t="str">
        <f>CONCATENATE(ИД!B34,"(",ИД!D31,ИД!E17,"+",ИД!D32,"/",ИД!E18,")","*",0.273)</f>
        <v>Проведение государственной экспертизы по объекту(225,291,266+89,63/1,19)*0,273</v>
      </c>
      <c r="E48" s="204"/>
      <c r="F48" s="204"/>
      <c r="G48" s="204"/>
      <c r="H48" s="205">
        <f>(ИД!D31/ИД!E17+ИД!D32/ИД!E18)*0.273</f>
        <v>69.14</v>
      </c>
      <c r="I48" s="196">
        <f t="shared" si="5"/>
        <v>69.14</v>
      </c>
      <c r="J48" s="172"/>
    </row>
    <row r="49" spans="1:10" s="22" customFormat="1" ht="18" customHeight="1">
      <c r="A49" s="28"/>
      <c r="B49" s="166"/>
      <c r="C49" s="17"/>
      <c r="D49" s="21" t="s">
        <v>43</v>
      </c>
      <c r="E49" s="18">
        <f>SUM(E44:E48)</f>
        <v>0</v>
      </c>
      <c r="F49" s="18">
        <f>SUM(F44:F48)</f>
        <v>0</v>
      </c>
      <c r="G49" s="18">
        <f>SUM(G44:G48)</f>
        <v>0</v>
      </c>
      <c r="H49" s="18">
        <f>SUM(H44:H48)</f>
        <v>439.33</v>
      </c>
      <c r="I49" s="18">
        <f>SUM(I44:I48)</f>
        <v>439.33</v>
      </c>
      <c r="J49" s="41" t="b">
        <f>SUM(E49:H49)=SUM(I44:I48)</f>
        <v>1</v>
      </c>
    </row>
    <row r="50" spans="1:10" s="22" customFormat="1" ht="18" customHeight="1">
      <c r="A50" s="28"/>
      <c r="B50" s="166"/>
      <c r="C50" s="17"/>
      <c r="D50" s="164" t="s">
        <v>44</v>
      </c>
      <c r="E50" s="18">
        <f>E39+E42+E49</f>
        <v>2059.94</v>
      </c>
      <c r="F50" s="18">
        <f>F39+F42+F49</f>
        <v>21.41</v>
      </c>
      <c r="G50" s="18">
        <f>G39+G42+G49</f>
        <v>0</v>
      </c>
      <c r="H50" s="18">
        <f>H39+H42+H49</f>
        <v>805.93</v>
      </c>
      <c r="I50" s="18">
        <f>I39+I42+I49</f>
        <v>2887.28</v>
      </c>
      <c r="J50" s="41" t="b">
        <f>SUM(E50:H50)=I39+I42+I49</f>
        <v>1</v>
      </c>
    </row>
    <row r="51" spans="1:10" s="22" customFormat="1" ht="15" customHeight="1">
      <c r="A51" s="28"/>
      <c r="B51" s="280" t="s">
        <v>45</v>
      </c>
      <c r="C51" s="281"/>
      <c r="D51" s="281"/>
      <c r="E51" s="281"/>
      <c r="F51" s="281"/>
      <c r="G51" s="281"/>
      <c r="H51" s="281"/>
      <c r="I51" s="281"/>
      <c r="J51" s="38"/>
    </row>
    <row r="52" spans="1:10" s="22" customFormat="1" ht="51">
      <c r="A52" s="30">
        <v>0.03</v>
      </c>
      <c r="B52" s="39">
        <f>B48+1</f>
        <v>15</v>
      </c>
      <c r="C52" s="24" t="str">
        <f>ИД!A35</f>
        <v>Методика утв. Приказом Минстрой РФ от 04.08.2020г. №421/пр п.179</v>
      </c>
      <c r="D52" s="165" t="s">
        <v>57</v>
      </c>
      <c r="E52" s="23">
        <f>E50*$A$52</f>
        <v>61.8</v>
      </c>
      <c r="F52" s="23">
        <f t="shared" ref="F52:H52" si="6">F50*$A$52</f>
        <v>0.64</v>
      </c>
      <c r="G52" s="23">
        <f t="shared" si="6"/>
        <v>0</v>
      </c>
      <c r="H52" s="23">
        <f t="shared" si="6"/>
        <v>24.18</v>
      </c>
      <c r="I52" s="23">
        <f>SUM(E52:H52)</f>
        <v>86.62</v>
      </c>
    </row>
    <row r="53" spans="1:10" s="22" customFormat="1" ht="26.25" customHeight="1">
      <c r="A53" s="28"/>
      <c r="B53" s="34"/>
      <c r="C53" s="34"/>
      <c r="D53" s="164" t="s">
        <v>46</v>
      </c>
      <c r="E53" s="18">
        <f>E50+E52</f>
        <v>2121.7399999999998</v>
      </c>
      <c r="F53" s="18">
        <f>F50+F52</f>
        <v>22.05</v>
      </c>
      <c r="G53" s="18">
        <f>G50+G52</f>
        <v>0</v>
      </c>
      <c r="H53" s="18">
        <f>H50+H52</f>
        <v>830.11</v>
      </c>
      <c r="I53" s="18">
        <f>I50+I52</f>
        <v>2973.9</v>
      </c>
      <c r="J53" s="41" t="b">
        <f>SUM(E53:H53)=I50+I52</f>
        <v>1</v>
      </c>
    </row>
    <row r="54" spans="1:10" s="187" customFormat="1" ht="18" customHeight="1">
      <c r="B54" s="188"/>
      <c r="C54" s="188"/>
      <c r="D54" s="189" t="s">
        <v>105</v>
      </c>
      <c r="E54" s="188"/>
      <c r="F54" s="188"/>
      <c r="G54" s="188"/>
      <c r="H54" s="188"/>
      <c r="I54" s="190">
        <f>ИД!D38</f>
        <v>37.36</v>
      </c>
      <c r="J54" s="191"/>
    </row>
    <row r="55" spans="1:10">
      <c r="B55" s="233"/>
      <c r="C55" s="233"/>
      <c r="D55" s="234" t="s">
        <v>139</v>
      </c>
      <c r="E55" s="235"/>
      <c r="F55" s="235"/>
      <c r="G55" s="235"/>
      <c r="H55" s="235"/>
      <c r="I55" s="236">
        <f>H45+H46+H47</f>
        <v>365.4</v>
      </c>
    </row>
    <row r="56" spans="1:10" s="22" customFormat="1" ht="12.75">
      <c r="J56" s="38"/>
    </row>
    <row r="58" spans="1:10">
      <c r="C58" s="43" t="str">
        <f>ССРтек!C61</f>
        <v>Генеральный директор  ООО "ИВЦ "Энергоактив""</v>
      </c>
      <c r="D58" s="1"/>
      <c r="E58" s="282"/>
      <c r="F58" s="282"/>
      <c r="G58" s="282"/>
      <c r="H58" s="57" t="str">
        <f>ИД!$B$6</f>
        <v>С.В. Лопашук</v>
      </c>
      <c r="I58" s="1"/>
    </row>
    <row r="59" spans="1:10">
      <c r="C59" s="3"/>
      <c r="D59" s="57"/>
      <c r="E59" s="9"/>
      <c r="F59" s="9"/>
      <c r="G59" s="9"/>
      <c r="H59" s="57"/>
      <c r="I59" s="9"/>
    </row>
    <row r="60" spans="1:10">
      <c r="C60" s="3"/>
      <c r="D60" s="57"/>
      <c r="E60" s="9"/>
      <c r="F60" s="9"/>
      <c r="G60" s="9"/>
      <c r="H60" s="57"/>
      <c r="I60" s="9"/>
    </row>
    <row r="61" spans="1:10">
      <c r="C61" s="43" t="str">
        <f>ССРтек!C64</f>
        <v>Главный инженер проекта ООО "ИВЦ "Энергоактив""</v>
      </c>
      <c r="D61" s="1"/>
      <c r="E61" s="282"/>
      <c r="F61" s="282"/>
      <c r="G61" s="282"/>
      <c r="H61" s="108" t="str">
        <f>ИД!B7</f>
        <v>Н.В.Петров</v>
      </c>
      <c r="I61" s="1"/>
    </row>
    <row r="62" spans="1:10">
      <c r="C62" s="3"/>
      <c r="D62" s="57"/>
      <c r="E62" s="9"/>
      <c r="F62" s="9"/>
      <c r="G62" s="9"/>
      <c r="H62" s="57"/>
      <c r="I62" s="9"/>
    </row>
    <row r="63" spans="1:10">
      <c r="C63" s="3"/>
      <c r="D63" s="57"/>
      <c r="E63" s="9"/>
      <c r="F63" s="9"/>
      <c r="G63" s="9"/>
      <c r="H63" s="57"/>
      <c r="I63" s="9"/>
    </row>
    <row r="64" spans="1:10">
      <c r="C64" s="3" t="s">
        <v>50</v>
      </c>
      <c r="D64" s="57"/>
      <c r="E64" s="223"/>
      <c r="F64" s="223"/>
      <c r="G64" s="223"/>
      <c r="H64" s="57"/>
      <c r="I64" s="9"/>
    </row>
    <row r="65" spans="3:9" ht="18.75" customHeight="1">
      <c r="C65" s="283"/>
      <c r="D65" s="283"/>
      <c r="E65" s="279"/>
      <c r="F65" s="279"/>
      <c r="G65" s="279"/>
      <c r="H65" s="61"/>
      <c r="I65" s="9"/>
    </row>
  </sheetData>
  <mergeCells count="24">
    <mergeCell ref="D12:H12"/>
    <mergeCell ref="D2:H2"/>
    <mergeCell ref="D3:H3"/>
    <mergeCell ref="D7:H7"/>
    <mergeCell ref="D8:H8"/>
    <mergeCell ref="D10:H10"/>
    <mergeCell ref="D13:H13"/>
    <mergeCell ref="B14:I14"/>
    <mergeCell ref="B15:B16"/>
    <mergeCell ref="C15:C16"/>
    <mergeCell ref="D15:D16"/>
    <mergeCell ref="E15:I15"/>
    <mergeCell ref="B28:I28"/>
    <mergeCell ref="B32:I32"/>
    <mergeCell ref="B51:I51"/>
    <mergeCell ref="B18:I18"/>
    <mergeCell ref="B21:I21"/>
    <mergeCell ref="B40:I40"/>
    <mergeCell ref="B24:I24"/>
    <mergeCell ref="E65:G65"/>
    <mergeCell ref="B43:I43"/>
    <mergeCell ref="E58:G58"/>
    <mergeCell ref="E61:G61"/>
    <mergeCell ref="C65:D65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zoomScaleNormal="100" zoomScaleSheetLayoutView="100" workbookViewId="0">
      <selection activeCell="E21" sqref="E21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 ht="37.5" customHeight="1">
      <c r="B1" s="297" t="str">
        <f>ССРбаз!D12</f>
        <v>09-01-23-3 «Реконструкция распределительных и квартальных тепловых сетей г. Благовещенска Амурской области» Объект 5 (Тепловые сети по ул. Кузнечная от ТК-30А (БТЭЦ) до ТК-28 L=279,8 м D=273мм)</v>
      </c>
      <c r="C1" s="297"/>
      <c r="D1" s="297"/>
      <c r="E1" s="297"/>
      <c r="F1" s="297"/>
      <c r="G1" s="297"/>
      <c r="H1" s="297"/>
      <c r="I1" s="297"/>
    </row>
    <row r="2" spans="1:9">
      <c r="B2" s="298" t="s">
        <v>12</v>
      </c>
      <c r="C2" s="298"/>
      <c r="D2" s="298"/>
      <c r="E2" s="298"/>
      <c r="F2" s="298"/>
      <c r="G2" s="298"/>
      <c r="H2" s="298"/>
      <c r="I2" s="298"/>
    </row>
    <row r="4" spans="1:9" ht="15.75">
      <c r="B4" s="299" t="s">
        <v>144</v>
      </c>
      <c r="C4" s="299"/>
      <c r="D4" s="299"/>
      <c r="E4" s="299"/>
      <c r="F4" s="299"/>
      <c r="G4" s="299"/>
      <c r="H4" s="299"/>
      <c r="I4" s="299"/>
    </row>
    <row r="5" spans="1:9" ht="15.75">
      <c r="B5" s="299" t="s">
        <v>145</v>
      </c>
      <c r="C5" s="299"/>
      <c r="D5" s="299"/>
      <c r="E5" s="299"/>
      <c r="F5" s="299"/>
      <c r="G5" s="299"/>
      <c r="H5" s="299"/>
      <c r="I5" s="299"/>
    </row>
    <row r="6" spans="1:9" ht="15.75">
      <c r="B6" s="237"/>
      <c r="C6" s="237"/>
      <c r="D6" s="237"/>
      <c r="E6" s="237"/>
      <c r="F6" s="237"/>
      <c r="G6" s="237"/>
      <c r="H6" s="237"/>
      <c r="I6" s="237"/>
    </row>
    <row r="7" spans="1:9" s="62" customFormat="1" ht="13.5">
      <c r="A7" s="107"/>
      <c r="B7" s="63"/>
      <c r="C7" s="63"/>
      <c r="D7" s="300" t="s">
        <v>62</v>
      </c>
      <c r="E7" s="300"/>
      <c r="F7" s="300"/>
      <c r="G7" s="300"/>
      <c r="H7" s="300"/>
      <c r="I7" s="63"/>
    </row>
    <row r="8" spans="1:9" s="62" customFormat="1" ht="13.5">
      <c r="A8" s="107"/>
      <c r="B8" s="64"/>
      <c r="C8" s="64"/>
      <c r="D8" s="65"/>
      <c r="E8" s="64"/>
      <c r="F8" s="64"/>
      <c r="G8" s="64"/>
      <c r="H8" s="64"/>
      <c r="I8" s="64"/>
    </row>
    <row r="9" spans="1:9" s="62" customFormat="1" ht="13.5">
      <c r="A9" s="107"/>
      <c r="B9" s="64"/>
      <c r="C9" s="63"/>
      <c r="D9" s="296" t="s">
        <v>63</v>
      </c>
      <c r="E9" s="296"/>
      <c r="F9" s="296"/>
      <c r="G9" s="296"/>
      <c r="H9" s="66">
        <f>I24</f>
        <v>23.83</v>
      </c>
      <c r="I9" s="67" t="s">
        <v>28</v>
      </c>
    </row>
    <row r="10" spans="1:9" s="62" customFormat="1" ht="13.5">
      <c r="A10" s="107"/>
      <c r="B10" s="64"/>
      <c r="C10" s="63"/>
      <c r="D10" s="294" t="s">
        <v>64</v>
      </c>
      <c r="E10" s="294"/>
      <c r="F10" s="294"/>
      <c r="G10" s="294"/>
      <c r="H10" s="242">
        <f>ИД!K21</f>
        <v>0.32500000000000001</v>
      </c>
      <c r="I10" s="88" t="str">
        <f>'[1]ОС-01-01тек'!I10</f>
        <v>км</v>
      </c>
    </row>
    <row r="11" spans="1:9" s="62" customFormat="1" ht="13.5">
      <c r="A11" s="107"/>
      <c r="B11" s="64"/>
      <c r="C11" s="63"/>
      <c r="D11" s="294" t="s">
        <v>65</v>
      </c>
      <c r="E11" s="294"/>
      <c r="F11" s="294"/>
      <c r="G11" s="294"/>
      <c r="H11" s="68">
        <f>H9/H10*1000</f>
        <v>73323.08</v>
      </c>
      <c r="I11" s="238" t="s">
        <v>66</v>
      </c>
    </row>
    <row r="12" spans="1:9" s="69" customFormat="1" ht="13.5">
      <c r="A12" s="108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08"/>
      <c r="C13" s="71"/>
      <c r="D13" s="72" t="s">
        <v>146</v>
      </c>
      <c r="E13" s="72"/>
      <c r="F13" s="72"/>
      <c r="G13" s="72"/>
      <c r="H13" s="72"/>
      <c r="I13" s="72"/>
    </row>
    <row r="14" spans="1:9" ht="15.75">
      <c r="B14" s="237"/>
      <c r="C14" s="237"/>
      <c r="D14" s="58"/>
      <c r="E14" s="58"/>
      <c r="F14" s="58"/>
      <c r="G14" s="35"/>
      <c r="H14" s="33"/>
      <c r="I14" s="237"/>
    </row>
    <row r="15" spans="1:9" ht="15" customHeight="1">
      <c r="B15" s="295" t="s">
        <v>16</v>
      </c>
      <c r="C15" s="295" t="s">
        <v>67</v>
      </c>
      <c r="D15" s="295" t="s">
        <v>68</v>
      </c>
      <c r="E15" s="295" t="s">
        <v>17</v>
      </c>
      <c r="F15" s="295"/>
      <c r="G15" s="295"/>
      <c r="H15" s="295"/>
      <c r="I15" s="295"/>
    </row>
    <row r="16" spans="1:9" ht="94.5">
      <c r="B16" s="295"/>
      <c r="C16" s="295"/>
      <c r="D16" s="295"/>
      <c r="E16" s="73" t="s">
        <v>69</v>
      </c>
      <c r="F16" s="239" t="s">
        <v>15</v>
      </c>
      <c r="G16" s="239" t="s">
        <v>70</v>
      </c>
      <c r="H16" s="239" t="s">
        <v>71</v>
      </c>
      <c r="I16" s="239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27">
      <c r="A18" s="108"/>
      <c r="B18" s="74">
        <v>1</v>
      </c>
      <c r="C18" s="74" t="str">
        <f>'[2]ОС-01-01'!C18</f>
        <v>ЛС-01-01-01</v>
      </c>
      <c r="D18" s="243" t="str">
        <f>'[2]ОС-01-01'!D18</f>
        <v>Разборка существующего покрытия и тротуара</v>
      </c>
      <c r="E18" s="87">
        <v>19.809999999999999</v>
      </c>
      <c r="F18" s="87"/>
      <c r="G18" s="87"/>
      <c r="H18" s="87"/>
      <c r="I18" s="87">
        <f t="shared" ref="I18:I19" si="0">SUM(E18:H18)</f>
        <v>19.809999999999999</v>
      </c>
    </row>
    <row r="19" spans="1:9" s="69" customFormat="1" ht="25.5" customHeight="1">
      <c r="A19" s="108"/>
      <c r="B19" s="74">
        <f>B18+1</f>
        <v>2</v>
      </c>
      <c r="C19" s="74" t="str">
        <f>'[2]ОС-01-01'!C19</f>
        <v>ЛС-01-01-02</v>
      </c>
      <c r="D19" s="243" t="str">
        <f>'[2]ОС-01-01'!D19</f>
        <v>Устройство защиты кабелей сети связи</v>
      </c>
      <c r="E19" s="87">
        <v>2.89</v>
      </c>
      <c r="F19" s="87"/>
      <c r="G19" s="87"/>
      <c r="H19" s="87"/>
      <c r="I19" s="87">
        <f t="shared" si="0"/>
        <v>2.89</v>
      </c>
    </row>
    <row r="20" spans="1:9" s="113" customFormat="1" ht="13.5">
      <c r="A20" s="109"/>
      <c r="B20" s="110"/>
      <c r="C20" s="110"/>
      <c r="D20" s="111" t="s">
        <v>60</v>
      </c>
      <c r="E20" s="112">
        <f>SUM(E18:E19)</f>
        <v>22.7</v>
      </c>
      <c r="F20" s="112"/>
      <c r="G20" s="112"/>
      <c r="H20" s="112"/>
      <c r="I20" s="112">
        <f t="shared" ref="I20" si="1">SUM(I18:I19)</f>
        <v>22.7</v>
      </c>
    </row>
    <row r="21" spans="1:9" s="76" customFormat="1" ht="94.5">
      <c r="A21" s="31">
        <f>'[1]ОС-01-01тек'!A22</f>
        <v>1.9199999999999998E-2</v>
      </c>
      <c r="B21" s="78">
        <f>B19+1</f>
        <v>3</v>
      </c>
      <c r="C21" s="80" t="str">
        <f>[1]ИД!A24</f>
        <v>Методика утв. Приказом Минстрой РФ от 19.06.20г. №332/пр, Приложение 1, п.53</v>
      </c>
      <c r="D21" s="84" t="str">
        <f>'[1]ОС-01-01тек'!D22</f>
        <v>Временные здания и сооружения (Объекты непроизводственного значения:Сети газо-, тепло-, водоснабжения и водоотведения(очистные сооружения,насосные станции и т.п.) в черте города)</v>
      </c>
      <c r="E21" s="82">
        <f>E20*A21</f>
        <v>0.44</v>
      </c>
      <c r="F21" s="82"/>
      <c r="G21" s="82"/>
      <c r="H21" s="83"/>
      <c r="I21" s="82">
        <f>SUM(E21:H21)</f>
        <v>0.44</v>
      </c>
    </row>
    <row r="22" spans="1:9" s="76" customFormat="1" ht="13.5">
      <c r="A22" s="22"/>
      <c r="B22" s="77"/>
      <c r="C22" s="77"/>
      <c r="D22" s="79" t="s">
        <v>60</v>
      </c>
      <c r="E22" s="83">
        <f>SUM(E20:E21)</f>
        <v>23.14</v>
      </c>
      <c r="F22" s="83"/>
      <c r="G22" s="83"/>
      <c r="H22" s="83"/>
      <c r="I22" s="83">
        <f t="shared" ref="I22" si="2">SUM(I20:I21)</f>
        <v>23.14</v>
      </c>
    </row>
    <row r="23" spans="1:9" s="76" customFormat="1" ht="67.5">
      <c r="A23" s="244">
        <f>[1]ИД!$E$36</f>
        <v>0.03</v>
      </c>
      <c r="B23" s="78">
        <f>B21+1</f>
        <v>4</v>
      </c>
      <c r="C23" s="80" t="str">
        <f>[1]ИД!$A$36</f>
        <v>Методика утв. Приказом Минстрой РФ от 04.08.2020г. №421/пр п.179</v>
      </c>
      <c r="D23" s="81" t="str">
        <f>CONCATENATE([1]ИД!$B$36," - ","3%",)</f>
        <v>Непредвиденные работы и затраты - 3%</v>
      </c>
      <c r="E23" s="82">
        <f>E22*A23</f>
        <v>0.69</v>
      </c>
      <c r="F23" s="82"/>
      <c r="G23" s="82"/>
      <c r="H23" s="82"/>
      <c r="I23" s="82">
        <f>SUM(E23:H23)</f>
        <v>0.69</v>
      </c>
    </row>
    <row r="24" spans="1:9" s="76" customFormat="1" ht="13.5">
      <c r="A24" s="22"/>
      <c r="B24" s="86"/>
      <c r="C24" s="86"/>
      <c r="D24" s="86" t="s">
        <v>61</v>
      </c>
      <c r="E24" s="89">
        <f>SUM(E22:E23)</f>
        <v>23.83</v>
      </c>
      <c r="F24" s="89"/>
      <c r="G24" s="89"/>
      <c r="H24" s="89"/>
      <c r="I24" s="89">
        <f t="shared" ref="I24" si="3">SUM(I22:I23)</f>
        <v>23.83</v>
      </c>
    </row>
    <row r="25" spans="1:9" s="22" customFormat="1" ht="12.75"/>
    <row r="27" spans="1:9" s="59" customFormat="1">
      <c r="A27" s="108"/>
      <c r="D27" s="13" t="s">
        <v>30</v>
      </c>
      <c r="G27" s="59" t="str">
        <f>'[1]ОС-01-01тек'!G29</f>
        <v>Н.В.Петров</v>
      </c>
    </row>
    <row r="28" spans="1:9" s="59" customFormat="1">
      <c r="A28" s="108"/>
      <c r="D28" s="14"/>
    </row>
    <row r="29" spans="1:9" s="59" customFormat="1">
      <c r="A29" s="108"/>
      <c r="D29" s="15" t="str">
        <f>[1]ИД!$A$8</f>
        <v>Составил</v>
      </c>
      <c r="G29" s="59" t="str">
        <f>[1]ИД!$B$8</f>
        <v>А.В.Исаев</v>
      </c>
    </row>
    <row r="30" spans="1:9" s="59" customFormat="1">
      <c r="A30" s="108"/>
      <c r="D30" s="15"/>
    </row>
    <row r="31" spans="1:9" s="59" customFormat="1">
      <c r="A31" s="108"/>
      <c r="D31" s="15" t="str">
        <f>[1]ИД!$A$9</f>
        <v>Проверил</v>
      </c>
      <c r="E31" s="60"/>
      <c r="G31" s="59" t="str">
        <f>[1]ИД!$B$9</f>
        <v>Н.В.Петров</v>
      </c>
    </row>
    <row r="32" spans="1:9" s="59" customFormat="1">
      <c r="A32" s="108"/>
      <c r="D32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ageMargins left="0.7" right="0.7" top="0.75" bottom="0.75" header="0.3" footer="0.3"/>
  <pageSetup paperSize="9" scale="66"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showZeros="0" view="pageBreakPreview" zoomScaleNormal="100" zoomScaleSheetLayoutView="100" workbookViewId="0">
      <selection activeCell="K21" sqref="K21"/>
    </sheetView>
  </sheetViews>
  <sheetFormatPr defaultRowHeight="15"/>
  <cols>
    <col min="1" max="1" width="7" style="22" customWidth="1"/>
    <col min="2" max="2" width="5.7109375" style="32" customWidth="1"/>
    <col min="3" max="3" width="15.7109375" style="32" customWidth="1"/>
    <col min="4" max="4" width="39.7109375" style="32" customWidth="1"/>
    <col min="5" max="5" width="16.28515625" style="32" customWidth="1"/>
    <col min="6" max="6" width="11.7109375" style="32" customWidth="1"/>
    <col min="7" max="8" width="12.7109375" style="32" customWidth="1"/>
    <col min="9" max="9" width="14.7109375" style="32" customWidth="1"/>
    <col min="10" max="16384" width="9.140625" style="32"/>
  </cols>
  <sheetData>
    <row r="1" spans="1:9">
      <c r="B1" s="297" t="str">
        <f>CONCATENATE(ИД!$B$10,ИД!$C$11)</f>
        <v>09-01-23-3 «Реконструкция распределительных и квартальных тепловых сетей г. Благовещенска Амурской области» Объект 5 (Тепловые сети по ул. Кузнечная от ТК-30А (БТЭЦ) до ТК-28 L=279,8 м D=273мм)</v>
      </c>
      <c r="C1" s="297"/>
      <c r="D1" s="297"/>
      <c r="E1" s="297"/>
      <c r="F1" s="297"/>
      <c r="G1" s="297"/>
      <c r="H1" s="297"/>
      <c r="I1" s="297"/>
    </row>
    <row r="2" spans="1:9">
      <c r="B2" s="298" t="s">
        <v>12</v>
      </c>
      <c r="C2" s="298"/>
      <c r="D2" s="298"/>
      <c r="E2" s="298"/>
      <c r="F2" s="298"/>
      <c r="G2" s="298"/>
      <c r="H2" s="298"/>
      <c r="I2" s="298"/>
    </row>
    <row r="4" spans="1:9" ht="15.75">
      <c r="B4" s="299" t="s">
        <v>85</v>
      </c>
      <c r="C4" s="299"/>
      <c r="D4" s="299"/>
      <c r="E4" s="299"/>
      <c r="F4" s="299"/>
      <c r="G4" s="299"/>
      <c r="H4" s="299"/>
      <c r="I4" s="299"/>
    </row>
    <row r="5" spans="1:9" ht="15.75">
      <c r="B5" s="299" t="s">
        <v>94</v>
      </c>
      <c r="C5" s="299"/>
      <c r="D5" s="299"/>
      <c r="E5" s="299"/>
      <c r="F5" s="299"/>
      <c r="G5" s="299"/>
      <c r="H5" s="299"/>
      <c r="I5" s="299"/>
    </row>
    <row r="6" spans="1:9" ht="15.75">
      <c r="B6" s="117"/>
      <c r="C6" s="117"/>
      <c r="D6" s="117"/>
      <c r="E6" s="117"/>
      <c r="F6" s="117"/>
      <c r="G6" s="117"/>
      <c r="H6" s="117"/>
      <c r="I6" s="117"/>
    </row>
    <row r="7" spans="1:9" s="62" customFormat="1" ht="13.5">
      <c r="A7" s="107"/>
      <c r="B7" s="63"/>
      <c r="C7" s="63"/>
      <c r="D7" s="300" t="s">
        <v>62</v>
      </c>
      <c r="E7" s="300"/>
      <c r="F7" s="300"/>
      <c r="G7" s="300"/>
      <c r="H7" s="300"/>
      <c r="I7" s="63"/>
    </row>
    <row r="8" spans="1:9" s="62" customFormat="1" ht="13.5">
      <c r="A8" s="107"/>
      <c r="B8" s="64"/>
      <c r="C8" s="64"/>
      <c r="D8" s="65"/>
      <c r="E8" s="64"/>
      <c r="F8" s="64"/>
      <c r="G8" s="64"/>
      <c r="H8" s="64"/>
      <c r="I8" s="64"/>
    </row>
    <row r="9" spans="1:9" s="62" customFormat="1" ht="15" customHeight="1">
      <c r="A9" s="107"/>
      <c r="B9" s="64"/>
      <c r="C9" s="63"/>
      <c r="D9" s="296" t="s">
        <v>63</v>
      </c>
      <c r="E9" s="296"/>
      <c r="F9" s="296"/>
      <c r="G9" s="296"/>
      <c r="H9" s="66">
        <f>I28</f>
        <v>0</v>
      </c>
      <c r="I9" s="67" t="s">
        <v>28</v>
      </c>
    </row>
    <row r="10" spans="1:9" s="62" customFormat="1" ht="32.1" customHeight="1">
      <c r="A10" s="107"/>
      <c r="B10" s="64"/>
      <c r="C10" s="63"/>
      <c r="D10" s="294" t="s">
        <v>64</v>
      </c>
      <c r="E10" s="294"/>
      <c r="F10" s="294"/>
      <c r="G10" s="294"/>
      <c r="H10" s="68" t="e">
        <f>ИД!#REF!</f>
        <v>#REF!</v>
      </c>
      <c r="I10" s="88" t="e">
        <f>ИД!#REF!</f>
        <v>#REF!</v>
      </c>
    </row>
    <row r="11" spans="1:9" s="62" customFormat="1" ht="32.1" customHeight="1">
      <c r="A11" s="107"/>
      <c r="B11" s="64"/>
      <c r="C11" s="63"/>
      <c r="D11" s="294" t="s">
        <v>65</v>
      </c>
      <c r="E11" s="294"/>
      <c r="F11" s="294"/>
      <c r="G11" s="294"/>
      <c r="H11" s="68" t="e">
        <f>H9/H10*1000</f>
        <v>#REF!</v>
      </c>
      <c r="I11" s="119" t="s">
        <v>66</v>
      </c>
    </row>
    <row r="12" spans="1:9" s="69" customFormat="1" ht="13.5">
      <c r="A12" s="108"/>
      <c r="B12" s="70"/>
      <c r="C12" s="70"/>
      <c r="D12" s="70"/>
      <c r="E12" s="70"/>
      <c r="F12" s="70"/>
      <c r="G12" s="71"/>
      <c r="H12" s="70"/>
      <c r="I12" s="70"/>
    </row>
    <row r="13" spans="1:9" s="69" customFormat="1" ht="13.5">
      <c r="A13" s="108"/>
      <c r="C13" s="71"/>
      <c r="D13" s="72" t="s">
        <v>27</v>
      </c>
      <c r="E13" s="72"/>
      <c r="F13" s="72"/>
      <c r="G13" s="72"/>
      <c r="H13" s="72"/>
      <c r="I13" s="72"/>
    </row>
    <row r="14" spans="1:9" ht="15.75">
      <c r="B14" s="117"/>
      <c r="C14" s="117"/>
      <c r="D14" s="58"/>
      <c r="E14" s="58"/>
      <c r="F14" s="58"/>
      <c r="G14" s="35"/>
      <c r="H14" s="33"/>
      <c r="I14" s="117"/>
    </row>
    <row r="15" spans="1:9" ht="15" customHeight="1">
      <c r="B15" s="295" t="s">
        <v>16</v>
      </c>
      <c r="C15" s="295" t="s">
        <v>67</v>
      </c>
      <c r="D15" s="295" t="s">
        <v>68</v>
      </c>
      <c r="E15" s="295" t="s">
        <v>17</v>
      </c>
      <c r="F15" s="295"/>
      <c r="G15" s="295"/>
      <c r="H15" s="295"/>
      <c r="I15" s="295"/>
    </row>
    <row r="16" spans="1:9" ht="85.5" customHeight="1">
      <c r="B16" s="295"/>
      <c r="C16" s="295"/>
      <c r="D16" s="295"/>
      <c r="E16" s="73" t="s">
        <v>69</v>
      </c>
      <c r="F16" s="118" t="s">
        <v>15</v>
      </c>
      <c r="G16" s="118" t="s">
        <v>70</v>
      </c>
      <c r="H16" s="118" t="s">
        <v>71</v>
      </c>
      <c r="I16" s="118" t="s">
        <v>18</v>
      </c>
    </row>
    <row r="17" spans="1:9">
      <c r="B17" s="11" t="s">
        <v>19</v>
      </c>
      <c r="C17" s="11" t="s">
        <v>20</v>
      </c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</row>
    <row r="18" spans="1:9" s="69" customFormat="1" ht="20.25" customHeight="1">
      <c r="A18" s="108"/>
      <c r="B18" s="74">
        <v>1</v>
      </c>
      <c r="C18" s="74" t="s">
        <v>86</v>
      </c>
      <c r="D18" s="75" t="s">
        <v>91</v>
      </c>
      <c r="E18" s="87">
        <v>0</v>
      </c>
      <c r="F18" s="87"/>
      <c r="G18" s="87"/>
      <c r="H18" s="87"/>
      <c r="I18" s="87">
        <f>SUM(E18:H18)</f>
        <v>0</v>
      </c>
    </row>
    <row r="19" spans="1:9" s="69" customFormat="1" ht="20.25" customHeight="1">
      <c r="A19" s="108"/>
      <c r="B19" s="74">
        <f>B18+1</f>
        <v>2</v>
      </c>
      <c r="C19" s="74" t="s">
        <v>87</v>
      </c>
      <c r="D19" s="75" t="s">
        <v>92</v>
      </c>
      <c r="E19" s="87">
        <v>0</v>
      </c>
      <c r="F19" s="87"/>
      <c r="G19" s="87"/>
      <c r="H19" s="87"/>
      <c r="I19" s="87">
        <f t="shared" ref="I19:I21" si="0">SUM(E19:H19)</f>
        <v>0</v>
      </c>
    </row>
    <row r="20" spans="1:9" s="69" customFormat="1" ht="20.25" customHeight="1">
      <c r="A20" s="108"/>
      <c r="B20" s="74">
        <f t="shared" ref="B20:B21" si="1">B19+1</f>
        <v>3</v>
      </c>
      <c r="C20" s="74" t="s">
        <v>88</v>
      </c>
      <c r="D20" s="75" t="s">
        <v>90</v>
      </c>
      <c r="E20" s="87">
        <v>0</v>
      </c>
      <c r="F20" s="87">
        <v>0</v>
      </c>
      <c r="G20" s="87"/>
      <c r="H20" s="87"/>
      <c r="I20" s="87">
        <f t="shared" si="0"/>
        <v>0</v>
      </c>
    </row>
    <row r="21" spans="1:9" s="69" customFormat="1" ht="20.25" customHeight="1">
      <c r="A21" s="108"/>
      <c r="B21" s="74">
        <f t="shared" si="1"/>
        <v>4</v>
      </c>
      <c r="C21" s="74" t="s">
        <v>89</v>
      </c>
      <c r="D21" s="75" t="s">
        <v>93</v>
      </c>
      <c r="E21" s="87">
        <v>0</v>
      </c>
      <c r="F21" s="87">
        <v>0</v>
      </c>
      <c r="G21" s="87">
        <v>0</v>
      </c>
      <c r="H21" s="87"/>
      <c r="I21" s="87">
        <f t="shared" si="0"/>
        <v>0</v>
      </c>
    </row>
    <row r="22" spans="1:9" s="113" customFormat="1" ht="15" customHeight="1">
      <c r="A22" s="109"/>
      <c r="B22" s="110"/>
      <c r="C22" s="110"/>
      <c r="D22" s="111" t="s">
        <v>60</v>
      </c>
      <c r="E22" s="112">
        <f>SUM(E18:E21)</f>
        <v>0</v>
      </c>
      <c r="F22" s="112">
        <f>SUM(F18:F21)</f>
        <v>0</v>
      </c>
      <c r="G22" s="112">
        <f>SUM(G18:G21)</f>
        <v>0</v>
      </c>
      <c r="H22" s="112">
        <f>SUM(H18:H21)</f>
        <v>0</v>
      </c>
      <c r="I22" s="112">
        <f>SUM(I18:I21)</f>
        <v>0</v>
      </c>
    </row>
    <row r="23" spans="1:9" s="76" customFormat="1" ht="81">
      <c r="A23" s="31">
        <f>ИД!$G$23%</f>
        <v>1.9199999999999998E-2</v>
      </c>
      <c r="B23" s="78">
        <f>B21+1</f>
        <v>5</v>
      </c>
      <c r="C23" s="114" t="str">
        <f>ИД!$A$23</f>
        <v>Методика утв. Приказом Минстрой РФ от 19.06.20г. №332/пр, Приложение 1, п.53</v>
      </c>
      <c r="D23" s="81" t="str">
        <f>CONCATENATE(ИД!$B$23," - ",ИД!$D$23,ИД!$E$23,"х",ИД!$F$23,"=",ИД!$G$23,ИД!$E$23)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82">
        <f>E22*$A$23</f>
        <v>0</v>
      </c>
      <c r="F23" s="82">
        <f>F22*A23</f>
        <v>0</v>
      </c>
      <c r="G23" s="82"/>
      <c r="H23" s="83"/>
      <c r="I23" s="82">
        <f>SUM(E23:H23)</f>
        <v>0</v>
      </c>
    </row>
    <row r="24" spans="1:9" s="76" customFormat="1" ht="18" customHeight="1">
      <c r="A24" s="22"/>
      <c r="B24" s="77"/>
      <c r="C24" s="77"/>
      <c r="D24" s="79" t="s">
        <v>60</v>
      </c>
      <c r="E24" s="83">
        <f>SUM(E22:E23)</f>
        <v>0</v>
      </c>
      <c r="F24" s="83">
        <f t="shared" ref="F24:I24" si="2">SUM(F22:F23)</f>
        <v>0</v>
      </c>
      <c r="G24" s="83">
        <f t="shared" si="2"/>
        <v>0</v>
      </c>
      <c r="H24" s="83">
        <f t="shared" si="2"/>
        <v>0</v>
      </c>
      <c r="I24" s="83">
        <f t="shared" si="2"/>
        <v>0</v>
      </c>
    </row>
    <row r="25" spans="1:9" s="76" customFormat="1" ht="13.5">
      <c r="A25" s="150">
        <v>0.1125</v>
      </c>
      <c r="B25" s="78">
        <f>B23+1</f>
        <v>6</v>
      </c>
      <c r="C25" s="80" t="e">
        <f>ИД!#REF!</f>
        <v>#REF!</v>
      </c>
      <c r="D25" s="84" t="e">
        <f>CONCATENATE(ИД!#REF!," - ",ИД!#REF!,ИД!#REF!,"*",0.9,"=",11.25,"%")</f>
        <v>#REF!</v>
      </c>
      <c r="E25" s="82">
        <f>E24*A25</f>
        <v>0</v>
      </c>
      <c r="F25" s="121">
        <f>F24*A25</f>
        <v>0</v>
      </c>
      <c r="G25" s="77"/>
      <c r="H25" s="77"/>
      <c r="I25" s="82">
        <f>SUM(E25:H25)</f>
        <v>0</v>
      </c>
    </row>
    <row r="26" spans="1:9" s="76" customFormat="1" ht="18" customHeight="1">
      <c r="A26" s="28"/>
      <c r="B26" s="78"/>
      <c r="C26" s="85"/>
      <c r="D26" s="79" t="s">
        <v>60</v>
      </c>
      <c r="E26" s="83">
        <f>SUM(E24:E25)</f>
        <v>0</v>
      </c>
      <c r="F26" s="83">
        <f>SUM(F24:F25)</f>
        <v>0</v>
      </c>
      <c r="G26" s="83">
        <f>SUM(G24:G25)</f>
        <v>0</v>
      </c>
      <c r="H26" s="83">
        <f>SUM(H24:H25)</f>
        <v>0</v>
      </c>
      <c r="I26" s="83">
        <f>SUM(I24:I25)</f>
        <v>0</v>
      </c>
    </row>
    <row r="27" spans="1:9" s="76" customFormat="1" ht="60">
      <c r="A27" s="31">
        <f>ИД!$E$35</f>
        <v>1.4999999999999999E-2</v>
      </c>
      <c r="B27" s="78">
        <f>B25+1</f>
        <v>7</v>
      </c>
      <c r="C27" s="114" t="str">
        <f>ИД!$A$35</f>
        <v>Методика утв. Приказом Минстрой РФ от 04.08.2020г. №421/пр п.179</v>
      </c>
      <c r="D27" s="81" t="str">
        <f>CONCATENATE(ИД!$B$35," - ","1,5%",)</f>
        <v>Непредвиденные работы и затраты - 1,5%</v>
      </c>
      <c r="E27" s="82">
        <f>E26*$A$27</f>
        <v>0</v>
      </c>
      <c r="F27" s="82">
        <f t="shared" ref="F27:H27" si="3">F26*$A$27</f>
        <v>0</v>
      </c>
      <c r="G27" s="82">
        <f>G26*$A$27</f>
        <v>0</v>
      </c>
      <c r="H27" s="82">
        <f t="shared" si="3"/>
        <v>0</v>
      </c>
      <c r="I27" s="82">
        <f>SUM(E27:H27)</f>
        <v>0</v>
      </c>
    </row>
    <row r="28" spans="1:9" s="76" customFormat="1" ht="20.100000000000001" customHeight="1">
      <c r="A28" s="22"/>
      <c r="B28" s="86"/>
      <c r="C28" s="86"/>
      <c r="D28" s="86" t="s">
        <v>61</v>
      </c>
      <c r="E28" s="89">
        <f>SUM(E26:E27)</f>
        <v>0</v>
      </c>
      <c r="F28" s="89">
        <f t="shared" ref="F28:I28" si="4">SUM(F26:F27)</f>
        <v>0</v>
      </c>
      <c r="G28" s="89">
        <f t="shared" si="4"/>
        <v>0</v>
      </c>
      <c r="H28" s="89">
        <f t="shared" si="4"/>
        <v>0</v>
      </c>
      <c r="I28" s="89">
        <f t="shared" si="4"/>
        <v>0</v>
      </c>
    </row>
    <row r="29" spans="1:9" s="22" customFormat="1" ht="12.75"/>
    <row r="31" spans="1:9" s="59" customFormat="1">
      <c r="A31" s="108"/>
      <c r="D31" s="13" t="s">
        <v>30</v>
      </c>
      <c r="G31" s="59" t="str">
        <f>ИД!$B$7</f>
        <v>Н.В.Петров</v>
      </c>
    </row>
    <row r="32" spans="1:9" s="59" customFormat="1">
      <c r="A32" s="108"/>
      <c r="D32" s="14"/>
    </row>
    <row r="33" spans="1:7" s="59" customFormat="1">
      <c r="A33" s="108"/>
      <c r="D33" s="59" t="e">
        <f>ИД!#REF!</f>
        <v>#REF!</v>
      </c>
      <c r="G33" s="59" t="e">
        <f>ИД!#REF!</f>
        <v>#REF!</v>
      </c>
    </row>
    <row r="34" spans="1:7" s="59" customFormat="1">
      <c r="A34" s="108"/>
      <c r="D34" s="15"/>
    </row>
    <row r="35" spans="1:7" s="59" customFormat="1">
      <c r="A35" s="108"/>
      <c r="D35" s="15" t="str">
        <f>ИД!$A$8</f>
        <v>Составил</v>
      </c>
      <c r="G35" s="59" t="str">
        <f>ИД!$B$8</f>
        <v>А.В.Исаев</v>
      </c>
    </row>
    <row r="36" spans="1:7" s="59" customFormat="1">
      <c r="A36" s="108"/>
      <c r="D36" s="15"/>
    </row>
    <row r="37" spans="1:7" s="59" customFormat="1">
      <c r="A37" s="108"/>
      <c r="D37" s="15" t="str">
        <f>ИД!$A$9</f>
        <v>Проверил</v>
      </c>
      <c r="E37" s="60"/>
      <c r="G37" s="59" t="str">
        <f>ИД!$B$9</f>
        <v>Н.В.Петров</v>
      </c>
    </row>
    <row r="38" spans="1:7" s="59" customFormat="1">
      <c r="A38" s="108"/>
      <c r="D38" s="16"/>
    </row>
  </sheetData>
  <mergeCells count="12">
    <mergeCell ref="D9:G9"/>
    <mergeCell ref="B1:I1"/>
    <mergeCell ref="B2:I2"/>
    <mergeCell ref="B4:I4"/>
    <mergeCell ref="B5:I5"/>
    <mergeCell ref="D7:H7"/>
    <mergeCell ref="D10:G10"/>
    <mergeCell ref="D11:G11"/>
    <mergeCell ref="B15:B16"/>
    <mergeCell ref="C15:C16"/>
    <mergeCell ref="D15:D16"/>
    <mergeCell ref="E15:I15"/>
  </mergeCells>
  <printOptions horizontalCentered="1"/>
  <pageMargins left="0.51181102362204722" right="0.19685039370078741" top="0.39370078740157483" bottom="0.19685039370078741" header="0.31496062992125984" footer="0.31496062992125984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8193" r:id="rId4">
          <objectPr defaultSize="0" autoPict="0" r:id="rId5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progId="Visio.Drawing.11" shapeId="819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view="pageBreakPreview" zoomScaleNormal="100" zoomScaleSheetLayoutView="100" workbookViewId="0">
      <selection activeCell="A2" sqref="A2:C8"/>
    </sheetView>
  </sheetViews>
  <sheetFormatPr defaultRowHeight="14.25"/>
  <cols>
    <col min="1" max="1" width="58.5703125" style="90" customWidth="1"/>
    <col min="2" max="2" width="16.85546875" style="90" customWidth="1"/>
    <col min="3" max="3" width="11" style="90" customWidth="1"/>
    <col min="4" max="16384" width="9.140625" style="90"/>
  </cols>
  <sheetData>
    <row r="1" spans="1:3">
      <c r="A1" s="96"/>
      <c r="B1" s="97"/>
      <c r="C1" s="98"/>
    </row>
    <row r="2" spans="1:3" ht="28.5">
      <c r="A2" s="96" t="s">
        <v>158</v>
      </c>
      <c r="B2" s="97">
        <f>ССРтек!I57</f>
        <v>433.02</v>
      </c>
      <c r="C2" s="98" t="s">
        <v>109</v>
      </c>
    </row>
    <row r="3" spans="1:3">
      <c r="A3" s="96"/>
      <c r="B3" s="97"/>
      <c r="C3" s="98"/>
    </row>
    <row r="4" spans="1:3" ht="28.5">
      <c r="A4" s="96" t="str">
        <f>CONCATENATE("Сметная стоимость на ",ИД!B11," определилась в размере ")</f>
        <v xml:space="preserve">Сметная стоимость на 1 квартал 2023 г. определилась в размере </v>
      </c>
      <c r="B4" s="97">
        <f>ССРтек!I53</f>
        <v>38695.72</v>
      </c>
      <c r="C4" s="98" t="s">
        <v>53</v>
      </c>
    </row>
    <row r="5" spans="1:3" ht="18" customHeight="1">
      <c r="A5" s="98" t="s">
        <v>51</v>
      </c>
      <c r="B5" s="97">
        <f>ССРтек!E53+ССРтек!F53</f>
        <v>32965.46</v>
      </c>
      <c r="C5" s="98" t="s">
        <v>53</v>
      </c>
    </row>
    <row r="6" spans="1:3">
      <c r="A6" s="98"/>
      <c r="B6" s="97"/>
      <c r="C6" s="98"/>
    </row>
    <row r="7" spans="1:3" ht="28.5">
      <c r="A7" s="96" t="str">
        <f>CONCATENATE("С учетом НДС сметная стоимость на ",ИД!B11," определилась в размере ")</f>
        <v xml:space="preserve">С учетом НДС сметная стоимость на 1 квартал 2023 г. определилась в размере </v>
      </c>
      <c r="B7" s="97">
        <f>ССРтек!I56</f>
        <v>46434.86</v>
      </c>
      <c r="C7" s="98" t="s">
        <v>53</v>
      </c>
    </row>
    <row r="8" spans="1:3" ht="18" customHeight="1">
      <c r="A8" s="98" t="s">
        <v>52</v>
      </c>
      <c r="B8" s="97">
        <f>ССРтек!E56+ССРтек!F56</f>
        <v>39558.550000000003</v>
      </c>
      <c r="C8" s="98" t="s">
        <v>53</v>
      </c>
    </row>
    <row r="9" spans="1:3">
      <c r="A9" s="98"/>
      <c r="B9" s="97"/>
      <c r="C9" s="98"/>
    </row>
    <row r="10" spans="1:3" ht="18" hidden="1" customHeight="1">
      <c r="A10" s="99" t="s">
        <v>133</v>
      </c>
      <c r="B10" s="100">
        <f>B7/ИД!K20</f>
        <v>34702.86</v>
      </c>
      <c r="C10" s="98" t="s">
        <v>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18</vt:i4>
      </vt:variant>
    </vt:vector>
  </HeadingPairs>
  <TitlesOfParts>
    <vt:vector size="26" baseType="lpstr">
      <vt:lpstr>ИД</vt:lpstr>
      <vt:lpstr>ССРтек</vt:lpstr>
      <vt:lpstr>ОС-01-01 тек</vt:lpstr>
      <vt:lpstr>ОС-06-01тек</vt:lpstr>
      <vt:lpstr>ССРбаз</vt:lpstr>
      <vt:lpstr>ОС-01-01</vt:lpstr>
      <vt:lpstr>ОС-06-01</vt:lpstr>
      <vt:lpstr>в ПЗ</vt:lpstr>
      <vt:lpstr>'в ПЗ'!Print_Area</vt:lpstr>
      <vt:lpstr>ИД!Print_Area</vt:lpstr>
      <vt:lpstr>'ОС-06-01'!Print_Area</vt:lpstr>
      <vt:lpstr>'ОС-06-01тек'!Print_Area</vt:lpstr>
      <vt:lpstr>ССРбаз!Print_Area</vt:lpstr>
      <vt:lpstr>ССРтек!Print_Area</vt:lpstr>
      <vt:lpstr>ССРбаз!Print_Titles</vt:lpstr>
      <vt:lpstr>ССРтек!Print_Titles</vt:lpstr>
      <vt:lpstr>ССРбаз!Заголовки_для_печати</vt:lpstr>
      <vt:lpstr>ССРтек!Заголовки_для_печати</vt:lpstr>
      <vt:lpstr>'в ПЗ'!Область_печати</vt:lpstr>
      <vt:lpstr>ИД!Область_печати</vt:lpstr>
      <vt:lpstr>'ОС-01-01'!Область_печати</vt:lpstr>
      <vt:lpstr>'ОС-01-01 тек'!Область_печати</vt:lpstr>
      <vt:lpstr>'ОС-06-01'!Область_печати</vt:lpstr>
      <vt:lpstr>'ОС-06-01тек'!Область_печати</vt:lpstr>
      <vt:lpstr>ССРбаз!Область_печати</vt:lpstr>
      <vt:lpstr>ССРтек!Область_печати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2023-04-20T03:14:00Z</dcterms:modified>
</cp:coreProperties>
</file>